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omments7.xml" ContentType="application/vnd.openxmlformats-officedocument.spreadsheetml.comments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7.xml" ContentType="application/vnd.openxmlformats-officedocument.drawingml.chart+xml"/>
  <Override PartName="/xl/comments8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IGSINSPACE\Lord Vader\Kowalewo Pomorskie\oblicz\"/>
    </mc:Choice>
  </mc:AlternateContent>
  <xr:revisionPtr revIDLastSave="0" documentId="13_ncr:1_{6E875722-917A-4FDE-91E7-F812AAB03FAF}" xr6:coauthVersionLast="38" xr6:coauthVersionMax="38" xr10:uidLastSave="{00000000-0000-0000-0000-000000000000}"/>
  <bookViews>
    <workbookView xWindow="0" yWindow="0" windowWidth="20490" windowHeight="6930" tabRatio="878" firstSheet="5" activeTab="10" xr2:uid="{00000000-000D-0000-FFFF-FFFF00000000}"/>
  </bookViews>
  <sheets>
    <sheet name="prognoza cieplo" sheetId="1" state="hidden" r:id="rId1"/>
    <sheet name="Bil Uz pub z uwzgl termo" sheetId="8" state="hidden" r:id="rId2"/>
    <sheet name="bilans  teraz" sheetId="12" state="hidden" r:id="rId3"/>
    <sheet name="Ok BILANS DZ GOSP" sheetId="6" state="hidden" r:id="rId4"/>
    <sheet name="BILANS" sheetId="10" r:id="rId5"/>
    <sheet name="OPTI" sheetId="22" r:id="rId6"/>
    <sheet name="ZANIECH" sheetId="29" r:id="rId7"/>
    <sheet name="2022 Emisja opti" sheetId="31" r:id="rId8"/>
    <sheet name="2032 Emisja opti" sheetId="32" r:id="rId9"/>
    <sheet name="2022 Emisja zaniech" sheetId="35" r:id="rId10"/>
    <sheet name="2032 Emisja zaniech" sheetId="36" r:id="rId11"/>
    <sheet name="prognoza gaz prąd" sheetId="37" r:id="rId12"/>
    <sheet name="Wskazniki" sheetId="30" r:id="rId13"/>
    <sheet name="OK MIESZK 2003 wskazn" sheetId="7" state="hidden" r:id="rId14"/>
    <sheet name="bilans OGOLEM" sheetId="2" state="hidden" r:id="rId15"/>
    <sheet name="bud uż publ" sheetId="4" state="hidden" r:id="rId16"/>
    <sheet name="wsaznik teraz" sheetId="11" state="hidden" r:id="rId17"/>
    <sheet name="bud uż porownanie" sheetId="9" state="hidden" r:id="rId18"/>
    <sheet name="emisja now" sheetId="21" state="hidden" r:id="rId19"/>
    <sheet name="CWU i pow." sheetId="23" r:id="rId20"/>
  </sheets>
  <externalReferences>
    <externalReference r:id="rId21"/>
    <externalReference r:id="rId22"/>
  </externalReferences>
  <definedNames>
    <definedName name="_Toc476568611" localSheetId="8">'2032 Emisja opti'!$Q$3</definedName>
    <definedName name="_Toc476568611" localSheetId="10">'2032 Emisja zaniech'!$Q$3</definedName>
    <definedName name="_Toc476568612" localSheetId="8">'2032 Emisja opti'!$Q$3</definedName>
    <definedName name="_Toc476568612" localSheetId="10">'2032 Emisja zaniech'!$Q$3</definedName>
    <definedName name="_xlnm.Print_Area" localSheetId="12">Wskazniki!$A$1:$Q$27</definedName>
    <definedName name="pompa_ciepła___wiatr" localSheetId="9">#REF!</definedName>
    <definedName name="pompa_ciepła___wiatr" localSheetId="8">#REF!</definedName>
    <definedName name="pompa_ciepła___wiatr" localSheetId="10">#REF!</definedName>
    <definedName name="pompa_ciepła___wiatr">#REF!</definedName>
  </definedNames>
  <calcPr calcId="179021"/>
  <oleSize ref="A1:AI87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B36" authorId="0" shapeId="0" xr:uid="{6128456D-B2E8-4AE6-9CEF-DB3A45092441}">
      <text>
        <r>
          <rPr>
            <b/>
            <sz val="9"/>
            <color indexed="81"/>
            <rFont val="Tahoma"/>
            <family val="2"/>
            <charset val="238"/>
          </rPr>
          <t>szcunek NA Podstawie pliku lata budowy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X6" authorId="0" shapeId="0" xr:uid="{14815C8D-1A47-4B7B-88FA-D1414A0A00B7}">
      <text>
        <r>
          <rPr>
            <b/>
            <sz val="9"/>
            <color indexed="81"/>
            <rFont val="Tahoma"/>
            <family val="2"/>
            <charset val="238"/>
          </rPr>
          <t>a:</t>
        </r>
        <r>
          <rPr>
            <sz val="9"/>
            <color indexed="81"/>
            <rFont val="Tahoma"/>
            <family val="2"/>
            <charset val="238"/>
          </rPr>
          <t xml:space="preserve">
R5/v4 vilans przy zerowej termo
</t>
        </r>
      </text>
    </comment>
    <comment ref="X12" authorId="0" shapeId="0" xr:uid="{E657C54E-5C0F-4B33-AC29-EB098BF07104}">
      <text>
        <r>
          <rPr>
            <b/>
            <sz val="9"/>
            <color indexed="81"/>
            <rFont val="Tahoma"/>
            <family val="2"/>
            <charset val="238"/>
          </rPr>
          <t>a:</t>
        </r>
        <r>
          <rPr>
            <sz val="9"/>
            <color indexed="81"/>
            <rFont val="Tahoma"/>
            <family val="2"/>
            <charset val="238"/>
          </rPr>
          <t xml:space="preserve">
R5/v4 vilans przy zerowej termo
</t>
        </r>
      </text>
    </comment>
    <comment ref="X18" authorId="0" shapeId="0" xr:uid="{B1AF9306-695D-4823-A48A-0D35693D0754}">
      <text>
        <r>
          <rPr>
            <b/>
            <sz val="9"/>
            <color indexed="81"/>
            <rFont val="Tahoma"/>
            <family val="2"/>
            <charset val="238"/>
          </rPr>
          <t>a:</t>
        </r>
        <r>
          <rPr>
            <sz val="9"/>
            <color indexed="81"/>
            <rFont val="Tahoma"/>
            <family val="2"/>
            <charset val="238"/>
          </rPr>
          <t xml:space="preserve">
R5/v4 vilans przy zerowej termo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B8" authorId="0" shapeId="0" xr:uid="{619623D8-9DBD-43BB-A06A-444773272160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8" authorId="0" shapeId="0" xr:uid="{19232C48-6CAF-4A47-AF35-9A6BDC0FB641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12" authorId="0" shapeId="0" xr:uid="{A8ED8D8A-8CDD-45D8-B8C6-9C9830EA91C8}">
      <text>
        <r>
          <rPr>
            <b/>
            <sz val="9"/>
            <color indexed="81"/>
            <rFont val="Tahoma"/>
            <family val="2"/>
            <charset val="238"/>
          </rPr>
          <t>W cieszynie do prądu dolicza się również zużycie cieplne prądu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Q15" authorId="0" shapeId="0" xr:uid="{DFB8A1E8-BEAC-4FC5-B6EA-DACD893EBFC7}">
      <text>
        <r>
          <rPr>
            <b/>
            <sz val="9"/>
            <color indexed="81"/>
            <rFont val="Tahoma"/>
            <family val="2"/>
            <charset val="238"/>
          </rPr>
          <t xml:space="preserve">Sprawdzenie. Ma się równać Kom M15
</t>
        </r>
      </text>
    </comment>
    <comment ref="B24" authorId="0" shapeId="0" xr:uid="{683C95D8-A523-4A4C-B5E8-4FB81C375AD4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24" authorId="0" shapeId="0" xr:uid="{EEFF9BA4-56A3-4EFB-A0E9-9C92BAD119CF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40" authorId="0" shapeId="0" xr:uid="{048AA3BB-F5BD-46C8-9D3D-E115AFAE5C8C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40" authorId="0" shapeId="0" xr:uid="{3C5486E7-F80C-4161-8E5B-3D9564B80535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56" authorId="0" shapeId="0" xr:uid="{5BE71C55-6BA6-469A-8C73-67D6BFFBBCD5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56" authorId="0" shapeId="0" xr:uid="{174F110F-69DE-41A5-8CC1-58D843D59E0E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F7" authorId="0" shapeId="0" xr:uid="{C8808A3F-0C6C-47E6-A4B2-B6F147B53421}">
      <text>
        <r>
          <rPr>
            <b/>
            <sz val="9"/>
            <color indexed="81"/>
            <rFont val="Tahoma"/>
            <family val="2"/>
            <charset val="238"/>
          </rPr>
          <t xml:space="preserve">wyzerowane z uwagi na podanie danych od EC
</t>
        </r>
      </text>
    </comment>
    <comment ref="B8" authorId="0" shapeId="0" xr:uid="{F48935D0-6471-47CF-BD80-DFB637750EB5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8" authorId="0" shapeId="0" xr:uid="{76792133-5D2B-4450-944A-FDCB84C3EAD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15" authorId="0" shapeId="0" xr:uid="{4F4A933C-FD82-4C1C-A5AB-2DF53AB13733}">
      <text>
        <r>
          <rPr>
            <b/>
            <sz val="9"/>
            <color indexed="81"/>
            <rFont val="Tahoma"/>
            <family val="2"/>
            <charset val="238"/>
          </rPr>
          <t>Wartość z bilansu rok bazowy</t>
        </r>
      </text>
    </comment>
    <comment ref="R16" authorId="0" shapeId="0" xr:uid="{6B504799-DA02-4117-8664-CDD09C65D1EC}">
      <text>
        <r>
          <rPr>
            <b/>
            <sz val="9"/>
            <color indexed="81"/>
            <rFont val="Tahoma"/>
            <family val="2"/>
            <charset val="238"/>
          </rPr>
          <t xml:space="preserve">różnica z uwagi na bytowy gaz </t>
        </r>
      </text>
    </comment>
    <comment ref="B24" authorId="0" shapeId="0" xr:uid="{DD1CEF1C-C1E9-4C42-9D15-8C9A7F00F189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M24" authorId="0" shapeId="0" xr:uid="{E50D4A03-8CB6-413D-A557-5F15F39C120D}">
      <text>
        <r>
          <rPr>
            <b/>
            <sz val="9"/>
            <color indexed="81"/>
            <rFont val="Tahoma"/>
            <family val="2"/>
            <charset val="238"/>
          </rPr>
          <t>Jeśli w BEI zwiększone tu też trzeba</t>
        </r>
      </text>
    </comment>
    <comment ref="AA24" authorId="0" shapeId="0" xr:uid="{9B495ACD-66EF-4CF2-8899-0384A1A4F1D0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38" authorId="0" shapeId="0" xr:uid="{B61B0C8D-2EA9-4D69-B45F-C87DDD5DAD0E}">
      <text>
        <r>
          <rPr>
            <b/>
            <sz val="9"/>
            <color indexed="81"/>
            <rFont val="Tahoma"/>
            <family val="2"/>
            <charset val="238"/>
          </rPr>
          <t>Ten wiersz skopiowac z BEI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0" authorId="0" shapeId="0" xr:uid="{CF3FB310-17E8-4474-BDCD-4C58A7FF3097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M40" authorId="0" shapeId="0" xr:uid="{96686651-1777-41C4-AAD1-E2CE8AC0526B}">
      <text>
        <r>
          <rPr>
            <b/>
            <sz val="9"/>
            <color indexed="81"/>
            <rFont val="Tahoma"/>
            <family val="2"/>
            <charset val="238"/>
          </rPr>
          <t>Jeśli w BEI zwiększone tu też trzeba</t>
        </r>
      </text>
    </comment>
    <comment ref="AA40" authorId="0" shapeId="0" xr:uid="{AF8027A8-5ED4-4CFC-A51E-C70B0639331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46" authorId="0" shapeId="0" xr:uid="{12C89A51-03D5-4180-ABEC-5035DC167974}">
      <text>
        <r>
          <rPr>
            <b/>
            <sz val="9"/>
            <color indexed="81"/>
            <rFont val="Tahoma"/>
            <family val="2"/>
            <charset val="238"/>
          </rPr>
          <t>Ten wiersz skopiowac z BEI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56" authorId="0" shapeId="0" xr:uid="{B3531602-75CC-49D2-B24D-A8DF452CC28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56" authorId="0" shapeId="0" xr:uid="{3A19DBC0-DCF0-411A-BAF3-5297C6A6616F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B8" authorId="0" shapeId="0" xr:uid="{0AAFB5A9-0081-4856-983A-8DB33D558ACB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8" authorId="0" shapeId="0" xr:uid="{6499E054-7648-4812-959B-95A657BC615A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24" authorId="0" shapeId="0" xr:uid="{4E969DD2-C7B7-497D-898B-A1708EB1D12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24" authorId="0" shapeId="0" xr:uid="{A6A01C8F-171B-4DB6-A400-EB1D785A0C03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40" authorId="0" shapeId="0" xr:uid="{775F1749-61CC-4FF5-A64B-08E3CF2284CB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40" authorId="0" shapeId="0" xr:uid="{F999D107-AE39-46BD-88C8-61AA3E0A3737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56" authorId="0" shapeId="0" xr:uid="{5F6D4A4B-7622-41DB-BB5D-EC621A42D7C8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S56" authorId="0" shapeId="0" xr:uid="{448A59FB-44D8-4A3F-A438-F9A9024D06DA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B8" authorId="0" shapeId="0" xr:uid="{126994BE-7ABB-4B69-B20A-70CEC9B36FEC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8" authorId="0" shapeId="0" xr:uid="{3AED027B-B695-4EA3-967F-94AC66916CDF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B24" authorId="0" shapeId="0" xr:uid="{623BF411-E285-4E6A-9C10-73B32A22E9A7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24" authorId="0" shapeId="0" xr:uid="{BF099135-DB0C-469E-A2E6-B167D777C5EE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38" authorId="0" shapeId="0" xr:uid="{8EFB4EA8-04F9-43E7-BA4D-09AE85ADB7BD}">
      <text>
        <r>
          <rPr>
            <b/>
            <sz val="9"/>
            <color indexed="81"/>
            <rFont val="Tahoma"/>
            <family val="2"/>
            <charset val="238"/>
          </rPr>
          <t>Ten wiersz skopiowac z BEI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0" authorId="0" shapeId="0" xr:uid="{C3E28A9F-A90B-4164-A2DA-D701C1DE8A2A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40" authorId="0" shapeId="0" xr:uid="{CBEB0613-57BD-4B20-A8F1-F8A8E328C5F0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R46" authorId="0" shapeId="0" xr:uid="{17CE09C6-AAD2-405D-B02D-35EC7BC1E48D}">
      <text>
        <r>
          <rPr>
            <b/>
            <sz val="9"/>
            <color indexed="81"/>
            <rFont val="Tahoma"/>
            <family val="2"/>
            <charset val="238"/>
          </rPr>
          <t>Ten wiersz skopiowac z BEI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56" authorId="0" shapeId="0" xr:uid="{EFCC2FE3-D35F-4BA7-9C0E-161F298CF8B4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  <comment ref="AA56" authorId="0" shapeId="0" xr:uid="{78293280-121B-436E-9FD0-60440032689E}">
      <text>
        <r>
          <rPr>
            <sz val="9"/>
            <color indexed="81"/>
            <rFont val="Tahoma"/>
            <family val="2"/>
            <charset val="238"/>
          </rPr>
          <t xml:space="preserve">Możliwe, że trzeba zwiększyć wartość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L12" authorId="0" shapeId="0" xr:uid="{9D878EF0-659C-4BBF-A4D2-4FB792751DB7}">
      <text>
        <r>
          <rPr>
            <b/>
            <sz val="9"/>
            <color indexed="81"/>
            <rFont val="Tahoma"/>
            <family val="2"/>
            <charset val="238"/>
          </rPr>
          <t xml:space="preserve">Na podst GUS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J18" authorId="0" shapeId="0" xr:uid="{D135AB47-859B-483F-B311-4C5F5183532A}">
      <text>
        <r>
          <rPr>
            <b/>
            <sz val="9"/>
            <color indexed="81"/>
            <rFont val="Tahoma"/>
            <family val="2"/>
            <charset val="238"/>
          </rPr>
          <t xml:space="preserve">Wpisz wzrost lub spadek na podst GUS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24" authorId="0" shapeId="0" xr:uid="{E9CCC957-3C28-4CCF-B64A-47A1EBB1C266}">
      <text>
        <r>
          <rPr>
            <b/>
            <sz val="9"/>
            <color indexed="81"/>
            <rFont val="Tahoma"/>
            <family val="2"/>
            <charset val="238"/>
          </rPr>
          <t xml:space="preserve">Wpisz wzrost lub spadek w %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4" authorId="0" shapeId="0" xr:uid="{8ABA316A-4AEC-47EC-B55C-ABF2083E9B75}">
      <text>
        <r>
          <rPr>
            <b/>
            <sz val="9"/>
            <color indexed="81"/>
            <rFont val="Tahoma"/>
            <family val="2"/>
            <charset val="238"/>
          </rPr>
          <t>Wpisz wzrost lub spadek na podst wart. Poniżej i/lub GUS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P24" authorId="0" shapeId="0" xr:uid="{D134EF41-51C7-458A-B4E0-2A081F5425F6}">
      <text>
        <r>
          <rPr>
            <b/>
            <sz val="9"/>
            <color indexed="81"/>
            <rFont val="Tahoma"/>
            <family val="2"/>
            <charset val="238"/>
          </rPr>
          <t>Wpisz wzrost lub spadek na podst wart. Poniżej i/lub GUS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<sst xmlns="http://schemas.openxmlformats.org/spreadsheetml/2006/main" count="3045" uniqueCount="669">
  <si>
    <t>do 66</t>
  </si>
  <si>
    <t>67-85</t>
  </si>
  <si>
    <t>86-93</t>
  </si>
  <si>
    <t>94-97</t>
  </si>
  <si>
    <t>po 97</t>
  </si>
  <si>
    <t>m2</t>
  </si>
  <si>
    <t>%</t>
  </si>
  <si>
    <t>Budynki budowane w okresie</t>
  </si>
  <si>
    <r>
      <t>Uśredniony wskaźnik zużycia energii [kWh/m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/rok]</t>
    </r>
  </si>
  <si>
    <t>Odsetek budynków w gminie</t>
  </si>
  <si>
    <t>Średnia ważona kolumn 3 i 4</t>
  </si>
  <si>
    <t>Do 1 966</t>
  </si>
  <si>
    <t>1967-1985</t>
  </si>
  <si>
    <t>1986-1992</t>
  </si>
  <si>
    <t>Od 1993</t>
  </si>
  <si>
    <t>Od 1997</t>
  </si>
  <si>
    <t>zestawienie zasobów mieszkaniowych ze wzgl na wiek  z ankiet</t>
  </si>
  <si>
    <t>Pow użytkowa dane UG</t>
  </si>
  <si>
    <t>GJ</t>
  </si>
  <si>
    <t>kWh</t>
  </si>
  <si>
    <t>obliczenia przewidywane w 20025:</t>
  </si>
  <si>
    <t>wzrost pow.uż mieszkań o 140 000</t>
  </si>
  <si>
    <t>wskaźnik 100 kWh/m2/rok</t>
  </si>
  <si>
    <t>przlicznik z MW na GJ</t>
  </si>
  <si>
    <t>1MW=3,6*24*Ld GJ</t>
  </si>
  <si>
    <t>Rok</t>
  </si>
  <si>
    <r>
      <t>zużycie gazu ziemnego tys. m</t>
    </r>
    <r>
      <rPr>
        <b/>
        <vertAlign val="superscript"/>
        <sz val="10"/>
        <color indexed="25"/>
        <rFont val="Arial"/>
        <family val="2"/>
        <charset val="238"/>
      </rPr>
      <t>3</t>
    </r>
  </si>
  <si>
    <t>liczba ludzi w 2025*30m2 mieszkania na 10s</t>
  </si>
  <si>
    <t>zużycie en. Cieplnej GJ</t>
  </si>
  <si>
    <t>MW</t>
  </si>
  <si>
    <t>1,31-1,61</t>
  </si>
  <si>
    <t>1,76-2,05</t>
  </si>
  <si>
    <t>0,88-1,17</t>
  </si>
  <si>
    <t>0,73-0,88</t>
  </si>
  <si>
    <t>0,29-0,44</t>
  </si>
  <si>
    <t>GJ/m2</t>
  </si>
  <si>
    <t>1,31-1,62</t>
  </si>
  <si>
    <t>prognoza</t>
  </si>
  <si>
    <t>zakres</t>
  </si>
  <si>
    <t>240-280</t>
  </si>
  <si>
    <t>160-200</t>
  </si>
  <si>
    <t>120-160</t>
  </si>
  <si>
    <t>90-120</t>
  </si>
  <si>
    <t>powierzchnia ogrz</t>
  </si>
  <si>
    <t>GJ/rok</t>
  </si>
  <si>
    <t>pierwotna ogrzewanie</t>
  </si>
  <si>
    <t>plus went</t>
  </si>
  <si>
    <t>emisja łączna</t>
  </si>
  <si>
    <t>222 dni ogrzewania w Krakowie</t>
  </si>
  <si>
    <t>MWh</t>
  </si>
  <si>
    <t>MJ</t>
  </si>
  <si>
    <t>pow.</t>
  </si>
  <si>
    <t>energia pierwotna chyba więcej</t>
  </si>
  <si>
    <t>dział gospo.</t>
  </si>
  <si>
    <t>suma powierzchni:</t>
  </si>
  <si>
    <t xml:space="preserve">Produkcja i przesył ciepła sieciowego z ciepłowni do mieszkań - sprawność w granicach 60 – 70%. </t>
  </si>
  <si>
    <t xml:space="preserve">Przetwarzanie gazu ziemnego na ciepło w większości kotłów przydomowych i przemysłowych - sprawność 75 – 80%. </t>
  </si>
  <si>
    <t>240-350</t>
  </si>
  <si>
    <t>-</t>
  </si>
  <si>
    <t>plus woda bez sprawności</t>
  </si>
  <si>
    <t>70% spr</t>
  </si>
  <si>
    <t>energia pierwotna</t>
  </si>
  <si>
    <t>miseszk</t>
  </si>
  <si>
    <t>u pub</t>
  </si>
  <si>
    <t>przyrost prognoza bez termo</t>
  </si>
  <si>
    <t>Do 1966</t>
  </si>
  <si>
    <t>zapotrz</t>
  </si>
  <si>
    <t>Powierzchnia mieszkań osób fizycznych – 708.007 m2</t>
  </si>
  <si>
    <t>Powierzchnia lokali związanych z działalnością gospodarczą – 134.840 m2</t>
  </si>
  <si>
    <t>powierzchnia obiektów użyteczności publicznej – 21.371 m2</t>
  </si>
  <si>
    <t>Cw</t>
  </si>
  <si>
    <t>Q=V*L*Cw*gęst.w*(twcieplej-twzimnej)*k*tuz/(1000*3600)</t>
  </si>
  <si>
    <t>V</t>
  </si>
  <si>
    <t>L</t>
  </si>
  <si>
    <t>osoby</t>
  </si>
  <si>
    <t>tuz</t>
  </si>
  <si>
    <t>czas uzytkowania</t>
  </si>
  <si>
    <t>kt</t>
  </si>
  <si>
    <t>mnoznik korekcyjny</t>
  </si>
  <si>
    <t>gest</t>
  </si>
  <si>
    <t>1000 kg/m3</t>
  </si>
  <si>
    <t>delta t</t>
  </si>
  <si>
    <t xml:space="preserve"> = 55-10</t>
  </si>
  <si>
    <t>Q=</t>
  </si>
  <si>
    <t>kWh/rok</t>
  </si>
  <si>
    <t>MWh/rok</t>
  </si>
  <si>
    <t>GUS</t>
  </si>
  <si>
    <t>1993-1996</t>
  </si>
  <si>
    <t>UG Sierakowice</t>
  </si>
  <si>
    <t>poprawka</t>
  </si>
  <si>
    <t>Od 1993 do 1997</t>
  </si>
  <si>
    <t>Lp.</t>
  </si>
  <si>
    <t>Lokalizacja</t>
  </si>
  <si>
    <t>Nr działki</t>
  </si>
  <si>
    <t>Ilość lokali</t>
  </si>
  <si>
    <t>Powierzchnia</t>
  </si>
  <si>
    <t>użytkowa m2</t>
  </si>
  <si>
    <t>obrysu (geom.)</t>
  </si>
  <si>
    <t>Mojusz 41</t>
  </si>
  <si>
    <t>277/7</t>
  </si>
  <si>
    <t>Tuchlino 22</t>
  </si>
  <si>
    <t>170/20</t>
  </si>
  <si>
    <t>170/22</t>
  </si>
  <si>
    <t>M1</t>
  </si>
  <si>
    <t>M2</t>
  </si>
  <si>
    <t>M3</t>
  </si>
  <si>
    <t>M4</t>
  </si>
  <si>
    <t>M5</t>
  </si>
  <si>
    <t>M6</t>
  </si>
  <si>
    <t>M7</t>
  </si>
  <si>
    <t>Paczewo 10</t>
  </si>
  <si>
    <t>Dolina Jadwigi 4</t>
  </si>
  <si>
    <t>mieszk komunaklne</t>
  </si>
  <si>
    <t>S-ce ul. Kartuska 12</t>
  </si>
  <si>
    <t>278/20</t>
  </si>
  <si>
    <t>S-ce ul. Lęborska 21</t>
  </si>
  <si>
    <t>1035/4</t>
  </si>
  <si>
    <t>S-ce ul. Mirachowska 21</t>
  </si>
  <si>
    <t>525/4</t>
  </si>
  <si>
    <t>S-ce ul. Dworcowa 13</t>
  </si>
  <si>
    <t>481/3</t>
  </si>
  <si>
    <t>S-ce ul 11 Listopada 10</t>
  </si>
  <si>
    <t>559/3</t>
  </si>
  <si>
    <t>Gowidlino ul. Podgórna 13</t>
  </si>
  <si>
    <t>581/5</t>
  </si>
  <si>
    <t>Szopa 27</t>
  </si>
  <si>
    <t>187/7</t>
  </si>
  <si>
    <t>Kamienica Król. ul. Szkolna</t>
  </si>
  <si>
    <t>345/5</t>
  </si>
  <si>
    <t>Kamienica Król. ul Dworcowa</t>
  </si>
  <si>
    <t>398/3</t>
  </si>
  <si>
    <t>Mojusz 23</t>
  </si>
  <si>
    <t>Tuchlino 3</t>
  </si>
  <si>
    <t>674/10</t>
  </si>
  <si>
    <t>Tuchlino 16; 16A</t>
  </si>
  <si>
    <t>572/5</t>
  </si>
  <si>
    <t>575/3</t>
  </si>
  <si>
    <t>M8</t>
  </si>
  <si>
    <t>M9</t>
  </si>
  <si>
    <t>M10</t>
  </si>
  <si>
    <t>Mieszkanie S-ce ul. Kubusia Puchatka 8/23</t>
  </si>
  <si>
    <t>Mieszkanie S-ce ul Kubusia Puchatka 10/7</t>
  </si>
  <si>
    <t>Pawilon Handlowy ul. Lęborska 2</t>
  </si>
  <si>
    <t>295-4</t>
  </si>
  <si>
    <t>285/3</t>
  </si>
  <si>
    <t>L1</t>
  </si>
  <si>
    <t>L2</t>
  </si>
  <si>
    <t>L3</t>
  </si>
  <si>
    <t>L4</t>
  </si>
  <si>
    <t>L5</t>
  </si>
  <si>
    <t>Budynek ul. Kartuska 12</t>
  </si>
  <si>
    <t>Kasa BS w bud UG ul. Lęborska 30</t>
  </si>
  <si>
    <t>budynki użytkowe</t>
  </si>
  <si>
    <t>Ośrodek Zdrowia S-ce</t>
  </si>
  <si>
    <t>469/1; 472/5</t>
  </si>
  <si>
    <t>Gminny Ośrodek Kultury</t>
  </si>
  <si>
    <t>369/2</t>
  </si>
  <si>
    <t>470/3</t>
  </si>
  <si>
    <t>Kompleks sportowo rekreacyjny Kamienica Król.</t>
  </si>
  <si>
    <t>290/8</t>
  </si>
  <si>
    <t>OREW Szklana</t>
  </si>
  <si>
    <t>10/6;</t>
  </si>
  <si>
    <t>Amfiteatr S-ce</t>
  </si>
  <si>
    <t>ZS Gowidlino</t>
  </si>
  <si>
    <t>663/1</t>
  </si>
  <si>
    <t>SP Jelonko</t>
  </si>
  <si>
    <t>509/1</t>
  </si>
  <si>
    <t>SP Sierakowice</t>
  </si>
  <si>
    <t>227/40</t>
  </si>
  <si>
    <t>SP Puzdrowo</t>
  </si>
  <si>
    <t>389/18</t>
  </si>
  <si>
    <t>389/15</t>
  </si>
  <si>
    <t>SP Załakowo</t>
  </si>
  <si>
    <t>SP Mojusz</t>
  </si>
  <si>
    <t>SP Łyśniewo</t>
  </si>
  <si>
    <t>SP Lisie Jamy</t>
  </si>
  <si>
    <t>101/5</t>
  </si>
  <si>
    <t>ZS Kamienica Królewska</t>
  </si>
  <si>
    <t>331; 332</t>
  </si>
  <si>
    <t>ZS Tuchlino</t>
  </si>
  <si>
    <t>Gimnazjum Sierakowice</t>
  </si>
  <si>
    <t>522/2</t>
  </si>
  <si>
    <t>SP Szopa</t>
  </si>
  <si>
    <t>użytkowa</t>
  </si>
  <si>
    <t>Gowidlio</t>
  </si>
  <si>
    <t>641/2</t>
  </si>
  <si>
    <t>Kamienica Królewska</t>
  </si>
  <si>
    <t>280/3</t>
  </si>
  <si>
    <t>Mojusz</t>
  </si>
  <si>
    <t>91/17</t>
  </si>
  <si>
    <t>Sierakowice</t>
  </si>
  <si>
    <t>1034/6</t>
  </si>
  <si>
    <t>Tuchlino</t>
  </si>
  <si>
    <t>573/3</t>
  </si>
  <si>
    <t xml:space="preserve">remizy </t>
  </si>
  <si>
    <t>szkoły</t>
  </si>
  <si>
    <t>zdrowie</t>
  </si>
  <si>
    <t>z planu 2003</t>
  </si>
  <si>
    <t>Budynek UG +policja</t>
  </si>
  <si>
    <t>ZAŁOZONO</t>
  </si>
  <si>
    <t>UŻ PUBL</t>
  </si>
  <si>
    <t>W TYM MIESZK SOCJ</t>
  </si>
  <si>
    <t>DO 90</t>
  </si>
  <si>
    <t>PO 90</t>
  </si>
  <si>
    <t>ZMODERNIZ</t>
  </si>
  <si>
    <t>80% spr</t>
  </si>
  <si>
    <r>
      <t>Uśredniony wskaźnik zużycia energii [kWh/m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/rok] bez termo</t>
    </r>
  </si>
  <si>
    <t>wskaźnik po termo</t>
  </si>
  <si>
    <t>procent termo</t>
  </si>
  <si>
    <t>powierzchnia łącznie</t>
  </si>
  <si>
    <t>pow bez termo</t>
  </si>
  <si>
    <t>pow z termo</t>
  </si>
  <si>
    <t>wskaźnik uśredniony</t>
  </si>
  <si>
    <t>zużycie bez termoGJ</t>
  </si>
  <si>
    <t>zużycie z termo GJ</t>
  </si>
  <si>
    <t>plus sprawność</t>
  </si>
  <si>
    <t>5% efekt termo</t>
  </si>
  <si>
    <t>Od 1993-1996</t>
  </si>
  <si>
    <t>2012-2020</t>
  </si>
  <si>
    <t>b.d.</t>
  </si>
  <si>
    <t>suma</t>
  </si>
  <si>
    <t>suma:</t>
  </si>
  <si>
    <t>teraz</t>
  </si>
  <si>
    <t>W prognozie</t>
  </si>
  <si>
    <t>ciepło dostarczone do odbiorców</t>
  </si>
  <si>
    <t>przyrost GJ</t>
  </si>
  <si>
    <t>dział gosp</t>
  </si>
  <si>
    <t>uż publ</t>
  </si>
  <si>
    <t>mieszk</t>
  </si>
  <si>
    <t>po GJ</t>
  </si>
  <si>
    <t>po pow</t>
  </si>
  <si>
    <t>MW z gazu</t>
  </si>
  <si>
    <t>po mocy</t>
  </si>
  <si>
    <t>OK PLIK</t>
  </si>
  <si>
    <t>zasysa z bilans</t>
  </si>
  <si>
    <t xml:space="preserve">wpółczynnik zużycia dobrać po zsumowaniu kW i GJ </t>
  </si>
  <si>
    <t>sprawności z ankiet uśrednić</t>
  </si>
  <si>
    <t>GJ/tone</t>
  </si>
  <si>
    <t>ton</t>
  </si>
  <si>
    <t>sprawn</t>
  </si>
  <si>
    <t>kW przed</t>
  </si>
  <si>
    <t>Przedszk Gowidlino</t>
  </si>
  <si>
    <t>OSP Gowdlino</t>
  </si>
  <si>
    <t>KK ZS</t>
  </si>
  <si>
    <t>KK Przedszk</t>
  </si>
  <si>
    <t>KK OPS</t>
  </si>
  <si>
    <t>Lisie Jamy SP</t>
  </si>
  <si>
    <t>GJ przed co +cwu</t>
  </si>
  <si>
    <t>Łysniewo SP</t>
  </si>
  <si>
    <t>Mojusz OSP</t>
  </si>
  <si>
    <t>Mojusz SP</t>
  </si>
  <si>
    <t>Puzdrowo SP</t>
  </si>
  <si>
    <t>Szopa SP</t>
  </si>
  <si>
    <t>Tuchlino ZS i OSP</t>
  </si>
  <si>
    <t>Załakowo SP</t>
  </si>
  <si>
    <t xml:space="preserve">było </t>
  </si>
  <si>
    <t xml:space="preserve">GJ </t>
  </si>
  <si>
    <t>z wodą i posilakmi</t>
  </si>
  <si>
    <t>był taki współczynnik</t>
  </si>
  <si>
    <t>z wodą</t>
  </si>
  <si>
    <t>z termo 10%</t>
  </si>
  <si>
    <t>gim</t>
  </si>
  <si>
    <t>przedszk</t>
  </si>
  <si>
    <t>OSP</t>
  </si>
  <si>
    <t>Osrd Zdro</t>
  </si>
  <si>
    <t>Osr Kult</t>
  </si>
  <si>
    <t>UG + polic</t>
  </si>
  <si>
    <t>szklana Przedszk</t>
  </si>
  <si>
    <t>kWh/m2/rok</t>
  </si>
  <si>
    <t>po odrzuceniu skrajnych</t>
  </si>
  <si>
    <t>średnia wychodzi 252</t>
  </si>
  <si>
    <t>bez wody</t>
  </si>
  <si>
    <t>bez skrajnych</t>
  </si>
  <si>
    <t>dziś</t>
  </si>
  <si>
    <t>dzis</t>
  </si>
  <si>
    <t>OK w 2003</t>
  </si>
  <si>
    <t xml:space="preserve">termo </t>
  </si>
  <si>
    <t>KJ/kg</t>
  </si>
  <si>
    <t>kg</t>
  </si>
  <si>
    <t>bez wody -20%</t>
  </si>
  <si>
    <t>średnia bw</t>
  </si>
  <si>
    <t>rok 2003</t>
  </si>
  <si>
    <t>kW</t>
  </si>
  <si>
    <t>liczba dni ogrz</t>
  </si>
  <si>
    <t>s</t>
  </si>
  <si>
    <t xml:space="preserve">20 t wegla </t>
  </si>
  <si>
    <t>GJ/ton</t>
  </si>
  <si>
    <t>uwagi</t>
  </si>
  <si>
    <t xml:space="preserve">42 19 wjazd syndrom </t>
  </si>
  <si>
    <t>moc zainst</t>
  </si>
  <si>
    <t>modern kotła 2015</t>
  </si>
  <si>
    <t>modern kotła 2016</t>
  </si>
  <si>
    <t>Sierakowice  SP + przedszk</t>
  </si>
  <si>
    <t>po uwzg spr</t>
  </si>
  <si>
    <t>pow</t>
  </si>
  <si>
    <t>c techn</t>
  </si>
  <si>
    <t>gj</t>
  </si>
  <si>
    <t>łącznie</t>
  </si>
  <si>
    <t>Olej opałowy</t>
  </si>
  <si>
    <t>ilość</t>
  </si>
  <si>
    <t>wielorodz</t>
  </si>
  <si>
    <t>wpisz</t>
  </si>
  <si>
    <t>270-350</t>
  </si>
  <si>
    <t>po termo</t>
  </si>
  <si>
    <t>% powierzchni</t>
  </si>
  <si>
    <t>wsp.energo zakres</t>
  </si>
  <si>
    <t>wsp. rzeczywisty</t>
  </si>
  <si>
    <t>Mieszkalnictwo jednorodzinne</t>
  </si>
  <si>
    <t>wsp po termo</t>
  </si>
  <si>
    <t>liczy</t>
  </si>
  <si>
    <t>Eu bez termo [GJ]</t>
  </si>
  <si>
    <t>Eu z termo [GJ]</t>
  </si>
  <si>
    <t>Eu łącznie [Gj]</t>
  </si>
  <si>
    <t>Ep bez cwu [GJ]</t>
  </si>
  <si>
    <t>Sprawność całkowita</t>
  </si>
  <si>
    <t>bez termo</t>
  </si>
  <si>
    <t>Uśredniony wsp. dla sektora</t>
  </si>
  <si>
    <t>wsp. Wykorzyst.</t>
  </si>
  <si>
    <t>Wielorodz</t>
  </si>
  <si>
    <t>Jednorodz</t>
  </si>
  <si>
    <t>Dział gosp</t>
  </si>
  <si>
    <t>Posiłki [GJ]</t>
  </si>
  <si>
    <t>sprawność</t>
  </si>
  <si>
    <t>Woda [Gj]</t>
  </si>
  <si>
    <t>Ep łącznie [GJ]</t>
  </si>
  <si>
    <t>Mieszkalnictwo wielorodzinne</t>
  </si>
  <si>
    <t>Działalność gospodarcza</t>
  </si>
  <si>
    <t>Użyt publ</t>
  </si>
  <si>
    <t>urzędy</t>
  </si>
  <si>
    <t>Użyteczność publiczna</t>
  </si>
  <si>
    <t>calkowite zapotrzebowanie energii cieplnej</t>
  </si>
  <si>
    <t>gaz</t>
  </si>
  <si>
    <t>m3gazu</t>
  </si>
  <si>
    <t>MJ/m3</t>
  </si>
  <si>
    <t>energia elektr</t>
  </si>
  <si>
    <t>drewno</t>
  </si>
  <si>
    <t>t</t>
  </si>
  <si>
    <t>pelet</t>
  </si>
  <si>
    <t>olej opałowy</t>
  </si>
  <si>
    <t>m3</t>
  </si>
  <si>
    <t>węgiel - gospodarstwa domowe</t>
  </si>
  <si>
    <t>oźe bez biomasy</t>
  </si>
  <si>
    <t>wegiel</t>
  </si>
  <si>
    <t>MJ/rok</t>
  </si>
  <si>
    <t>kg/rok</t>
  </si>
  <si>
    <t>t/rok</t>
  </si>
  <si>
    <t>sprawność całk</t>
  </si>
  <si>
    <t>regulacja</t>
  </si>
  <si>
    <t>2030 optimum</t>
  </si>
  <si>
    <t>Sox</t>
  </si>
  <si>
    <t>Nox</t>
  </si>
  <si>
    <r>
      <t>CO</t>
    </r>
    <r>
      <rPr>
        <vertAlign val="subscript"/>
        <sz val="10"/>
        <rFont val="Arial CE"/>
        <family val="2"/>
        <charset val="238"/>
      </rPr>
      <t>2</t>
    </r>
  </si>
  <si>
    <t>GJ/h</t>
  </si>
  <si>
    <t>pyły</t>
  </si>
  <si>
    <t>co</t>
  </si>
  <si>
    <t>sadza</t>
  </si>
  <si>
    <t>Balf Piren</t>
  </si>
  <si>
    <t>przed modernizacja</t>
  </si>
  <si>
    <t>emisja ze spalonego wegla</t>
  </si>
  <si>
    <t>suma gaz+węgiel+olej</t>
  </si>
  <si>
    <t>2030 zaniechanie</t>
  </si>
  <si>
    <r>
      <t>SO</t>
    </r>
    <r>
      <rPr>
        <vertAlign val="subscript"/>
        <sz val="10"/>
        <rFont val="Arial CE"/>
        <family val="2"/>
        <charset val="238"/>
      </rPr>
      <t>2</t>
    </r>
  </si>
  <si>
    <r>
      <t>NO</t>
    </r>
    <r>
      <rPr>
        <vertAlign val="subscript"/>
        <sz val="10"/>
        <rFont val="Arial CE"/>
        <family val="2"/>
        <charset val="238"/>
      </rPr>
      <t>2</t>
    </r>
  </si>
  <si>
    <t>CO</t>
  </si>
  <si>
    <t>mnożnik</t>
  </si>
  <si>
    <t>kWh/kg</t>
  </si>
  <si>
    <t>MWh/tone</t>
  </si>
  <si>
    <t>kwh/mp</t>
  </si>
  <si>
    <t>kwh/kg</t>
  </si>
  <si>
    <t>pokrywane przez ZEC</t>
  </si>
  <si>
    <t>pokrywane przez Fenice</t>
  </si>
  <si>
    <t>emisja jednostkowa z koksu</t>
  </si>
  <si>
    <t>A=10%</t>
  </si>
  <si>
    <t>s=0,6%</t>
  </si>
  <si>
    <t>emisje z gazu</t>
  </si>
  <si>
    <r>
      <t>z 1 000 000 m</t>
    </r>
    <r>
      <rPr>
        <vertAlign val="superscript"/>
        <sz val="10"/>
        <rFont val="Arial CE"/>
        <family val="2"/>
        <charset val="238"/>
      </rPr>
      <t>3</t>
    </r>
  </si>
  <si>
    <t>SO2</t>
  </si>
  <si>
    <t>kg/10^6 m3</t>
  </si>
  <si>
    <t>NO2</t>
  </si>
  <si>
    <t>kg/10^6 m4</t>
  </si>
  <si>
    <t>kg/10^6 m5</t>
  </si>
  <si>
    <t>CO2</t>
  </si>
  <si>
    <t>kg/10^6 m6</t>
  </si>
  <si>
    <t>Ep=</t>
  </si>
  <si>
    <t>Węgiel - gospodarstwa domowe</t>
  </si>
  <si>
    <t>masa [t]</t>
  </si>
  <si>
    <t>wart.opałowa MJ/kg</t>
  </si>
  <si>
    <t>zaw popiołu A [%]</t>
  </si>
  <si>
    <t>zaw siarki S [%]</t>
  </si>
  <si>
    <t>Wskaźniki [kg/t]</t>
  </si>
  <si>
    <t>Emisja [t/rok]</t>
  </si>
  <si>
    <t>współcz. pietczuka</t>
  </si>
  <si>
    <t>na dany rok (KOBIZE)</t>
  </si>
  <si>
    <t>Gaz</t>
  </si>
  <si>
    <t>ilość [m3]</t>
  </si>
  <si>
    <t>E [GJ]</t>
  </si>
  <si>
    <t>Wskaźniki [g/m3]</t>
  </si>
  <si>
    <t>zaw siarki S [mg/m3]</t>
  </si>
  <si>
    <t>Wskaźniki [g/t]</t>
  </si>
  <si>
    <t>ilość [t]</t>
  </si>
  <si>
    <t>jednostka</t>
  </si>
  <si>
    <t>Drewno</t>
  </si>
  <si>
    <t>wsp. kWh/kg</t>
  </si>
  <si>
    <t>Pelet</t>
  </si>
  <si>
    <t>Pomocnicze do drewna</t>
  </si>
  <si>
    <t>Łącznie</t>
  </si>
  <si>
    <t>Propan butan</t>
  </si>
  <si>
    <t>do 2012</t>
  </si>
  <si>
    <t>% termo</t>
  </si>
  <si>
    <t>2013-2020</t>
  </si>
  <si>
    <t xml:space="preserve">Uśredniony wsp. </t>
  </si>
  <si>
    <t>UŻP</t>
  </si>
  <si>
    <t>DzG</t>
  </si>
  <si>
    <t>Powierzchnia użytkowa [m2]</t>
  </si>
  <si>
    <t>Użytecznośc publiczna</t>
  </si>
  <si>
    <t>2013-2030</t>
  </si>
  <si>
    <t>termo 2020</t>
  </si>
  <si>
    <t>termo 2030</t>
  </si>
  <si>
    <t>termo teraz</t>
  </si>
  <si>
    <t>jednorodz</t>
  </si>
  <si>
    <t>Jednostka</t>
  </si>
  <si>
    <t>5*</t>
  </si>
  <si>
    <t>7*</t>
  </si>
  <si>
    <t>[GJ/rok]</t>
  </si>
  <si>
    <t>[MW]</t>
  </si>
  <si>
    <t>Podsumowanie</t>
  </si>
  <si>
    <t>UżP</t>
  </si>
  <si>
    <t>pow mpec</t>
  </si>
  <si>
    <t>uz publ</t>
  </si>
  <si>
    <t>dzial gospo</t>
  </si>
  <si>
    <t>mpec</t>
  </si>
  <si>
    <t>reszta</t>
  </si>
  <si>
    <t>gus</t>
  </si>
  <si>
    <t>MPEC</t>
  </si>
  <si>
    <t>WĘGIE Mg</t>
  </si>
  <si>
    <t>Węgiel - MPEC</t>
  </si>
  <si>
    <t>cyklony i filtry sprawność</t>
  </si>
  <si>
    <t>ciepło sieciowe węgiel</t>
  </si>
  <si>
    <t>ciepło sieciowe gaz</t>
  </si>
  <si>
    <t>kotły wegiel</t>
  </si>
  <si>
    <t>na gaz</t>
  </si>
  <si>
    <t>dla cyklonów mnoże razy 0,4</t>
  </si>
  <si>
    <t>Gaz - MPEC</t>
  </si>
  <si>
    <t>MJ/kg</t>
  </si>
  <si>
    <t>tyle ogrzewa gazem</t>
  </si>
  <si>
    <t>Ogółem</t>
  </si>
  <si>
    <t>Razem</t>
  </si>
  <si>
    <t>W tym ogrzewający mieszkanie</t>
  </si>
  <si>
    <t>Przemysł i budownictwo</t>
  </si>
  <si>
    <t>Usługi</t>
  </si>
  <si>
    <t>Handel</t>
  </si>
  <si>
    <t>Pozostali</t>
  </si>
  <si>
    <t>wsp megawatowy</t>
  </si>
  <si>
    <t>Substancja</t>
  </si>
  <si>
    <t>Zmiana w stosunku do stanu obecnego         Scenariusz 1                      [Mg]</t>
  </si>
  <si>
    <t>Zmniejszenie                      w stosunku do stanu obecnego                Scenariusz 1                      [%]</t>
  </si>
  <si>
    <t>Zwiększenie                        w stosunku do stanu obecnego             Scenariusz 2                   [Mg]</t>
  </si>
  <si>
    <t>Zwiększenie                     w stosunku do stanu obecnego          Scenariusz 2                  [%]</t>
  </si>
  <si>
    <r>
      <t>NO</t>
    </r>
    <r>
      <rPr>
        <vertAlign val="subscript"/>
        <sz val="10"/>
        <rFont val="Calibri"/>
        <family val="2"/>
        <charset val="238"/>
      </rPr>
      <t>x</t>
    </r>
  </si>
  <si>
    <r>
      <t>CO</t>
    </r>
    <r>
      <rPr>
        <vertAlign val="subscript"/>
        <sz val="10"/>
        <rFont val="Calibri"/>
        <family val="2"/>
        <charset val="238"/>
      </rPr>
      <t>2</t>
    </r>
  </si>
  <si>
    <r>
      <t xml:space="preserve">Pyły </t>
    </r>
    <r>
      <rPr>
        <sz val="10"/>
        <rFont val="Calibri"/>
        <family val="2"/>
        <charset val="238"/>
      </rPr>
      <t>(PM10, PM2,5)</t>
    </r>
  </si>
  <si>
    <t>BaP</t>
  </si>
  <si>
    <t>SOx</t>
  </si>
  <si>
    <t>Opti</t>
  </si>
  <si>
    <t>Zaniech</t>
  </si>
  <si>
    <t>wpisz Ep z łapy</t>
  </si>
  <si>
    <t xml:space="preserve"> współcz.  obniżenia</t>
  </si>
  <si>
    <t>wpisać spr żeby Ep wyszlo jak w ark. Bilans</t>
  </si>
  <si>
    <t>wpisać wpołcz 1+x33</t>
  </si>
  <si>
    <t>wpisać wps 1+x3</t>
  </si>
  <si>
    <t>SPRAWDZIĆ NA ZEROWEJ TERMO</t>
  </si>
  <si>
    <t>OK</t>
  </si>
  <si>
    <t>1997-2012</t>
  </si>
  <si>
    <t>2013-2015</t>
  </si>
  <si>
    <t>70-90</t>
  </si>
  <si>
    <t>do 2015</t>
  </si>
  <si>
    <t>2016-2020</t>
  </si>
  <si>
    <t>2016-2030</t>
  </si>
  <si>
    <t>60-80</t>
  </si>
  <si>
    <t>węgiel</t>
  </si>
  <si>
    <t>sieć ciepłownicza</t>
  </si>
  <si>
    <t>energia elektryczna</t>
  </si>
  <si>
    <t>OŹE (kolektory sloneczne)</t>
  </si>
  <si>
    <t>Typ</t>
  </si>
  <si>
    <t>Sektor</t>
  </si>
  <si>
    <t>Zmiana</t>
  </si>
  <si>
    <t>Budynki mieszkalne - potrzeby grzewcze</t>
  </si>
  <si>
    <t>Budynki mieszkalne wielorodzinne - potrzeby grzewcze</t>
  </si>
  <si>
    <t>Budynki komunalne (gminne) - potrzeby grzewcze</t>
  </si>
  <si>
    <t>Budynki usługowo-użytkowe - potrzeby grzewcze</t>
  </si>
  <si>
    <t>2013-2016</t>
  </si>
  <si>
    <r>
      <t>[kWh/(m</t>
    </r>
    <r>
      <rPr>
        <vertAlign val="superscript"/>
        <sz val="10"/>
        <rFont val="Arial"/>
        <family val="2"/>
        <charset val="238"/>
      </rPr>
      <t>2*</t>
    </r>
    <r>
      <rPr>
        <sz val="10"/>
        <rFont val="Arial"/>
        <family val="2"/>
        <charset val="238"/>
      </rPr>
      <t>rok)]</t>
    </r>
  </si>
  <si>
    <t>4*</t>
  </si>
  <si>
    <t>6*</t>
  </si>
  <si>
    <t>Zakres</t>
  </si>
  <si>
    <t>Ek z BEI</t>
  </si>
  <si>
    <t>SUMA</t>
  </si>
  <si>
    <t>WW</t>
  </si>
  <si>
    <t>WpiszEk z BEI</t>
  </si>
  <si>
    <t>E u</t>
  </si>
  <si>
    <t>Ek</t>
  </si>
  <si>
    <t>Moc</t>
  </si>
  <si>
    <t>Wskaźnik</t>
  </si>
  <si>
    <t>Wskaźnik łącznie</t>
  </si>
  <si>
    <t>liczy:</t>
  </si>
  <si>
    <t>DZ G</t>
  </si>
  <si>
    <t>Założenia do obliczeń oraz listy wybieralne</t>
  </si>
  <si>
    <t>Oświetlenie wskaźniki</t>
  </si>
  <si>
    <t>Mg/CO2 na MWh</t>
  </si>
  <si>
    <t>Wskaźniki ciepła woda</t>
  </si>
  <si>
    <t>MWh/m2*rok</t>
  </si>
  <si>
    <t>podst. W/m2</t>
  </si>
  <si>
    <t>podst [MWh/m2*rok]</t>
  </si>
  <si>
    <t>rozszerz.</t>
  </si>
  <si>
    <t>pełny</t>
  </si>
  <si>
    <t>to [h/rok]</t>
  </si>
  <si>
    <t>Źródło ciepła</t>
  </si>
  <si>
    <t>Wartości opałowe* [GJ/Mg]</t>
  </si>
  <si>
    <t>Koszt w zł uzyskania 1 GJ ciepła z danego nośnika**</t>
  </si>
  <si>
    <t>Lata budowy</t>
  </si>
  <si>
    <t>wsp.energochł. zakres [kWh/m2*rok]</t>
  </si>
  <si>
    <t>Wsp. energochł. rzeczywisty [kWh/m2*rok]</t>
  </si>
  <si>
    <t>szkoły, urzędy</t>
  </si>
  <si>
    <t>urz</t>
  </si>
  <si>
    <t>gosp.dom.</t>
  </si>
  <si>
    <t>szk</t>
  </si>
  <si>
    <t>szpit</t>
  </si>
  <si>
    <t>sport,rekr</t>
  </si>
  <si>
    <t>usługi</t>
  </si>
  <si>
    <t>Jeśli tak wskaż typ</t>
  </si>
  <si>
    <t>kocioł gazowy</t>
  </si>
  <si>
    <t>prąd</t>
  </si>
  <si>
    <t>kocioł olejowy</t>
  </si>
  <si>
    <t>*żródło KOBIZE 2015, uśrednione na podstawie obliczeń własnych, dla gazu współczynnik konwersji [GJ/m3] wg PGNiG, dla oleju [GJ/m3]</t>
  </si>
  <si>
    <t>nowoczesny kocioł węglowy</t>
  </si>
  <si>
    <t xml:space="preserve">**obliczono po przyjęciu uśrednionych sprawności urządzeń grzewczych oraz średnich cen nośników energii wg cenników dostawców </t>
  </si>
  <si>
    <t>Termomoderni-zacja</t>
  </si>
  <si>
    <t>Zmniejszenie zużycia energii</t>
  </si>
  <si>
    <t>Mnożnik</t>
  </si>
  <si>
    <t>kolektory słoneczne</t>
  </si>
  <si>
    <t>kompletna</t>
  </si>
  <si>
    <t>wiatrak przydomowy</t>
  </si>
  <si>
    <t>Oźe</t>
  </si>
  <si>
    <t>częściowa</t>
  </si>
  <si>
    <t>ogniwa fotowoltaiczne</t>
  </si>
  <si>
    <t xml:space="preserve">tak </t>
  </si>
  <si>
    <t>brak</t>
  </si>
  <si>
    <r>
      <t>Q</t>
    </r>
    <r>
      <rPr>
        <sz val="6"/>
        <rFont val="Arial"/>
        <family val="2"/>
        <charset val="238"/>
      </rPr>
      <t>gosp.dom.</t>
    </r>
    <r>
      <rPr>
        <sz val="8"/>
        <rFont val="Arial"/>
        <family val="2"/>
        <charset val="238"/>
      </rPr>
      <t>=</t>
    </r>
  </si>
  <si>
    <t xml:space="preserve">pompa ciepła </t>
  </si>
  <si>
    <t>nie</t>
  </si>
  <si>
    <r>
      <t>Q</t>
    </r>
    <r>
      <rPr>
        <sz val="6"/>
        <rFont val="Arial"/>
        <family val="2"/>
        <charset val="238"/>
      </rPr>
      <t>szkoły,urzędy</t>
    </r>
    <r>
      <rPr>
        <sz val="8"/>
        <rFont val="Arial"/>
        <family val="2"/>
        <charset val="238"/>
      </rPr>
      <t>=</t>
    </r>
  </si>
  <si>
    <t>GWC</t>
  </si>
  <si>
    <t>Wskaźniki emisji WFOS</t>
  </si>
  <si>
    <t>poniżej 50 kW</t>
  </si>
  <si>
    <t>prąd [SEAP]</t>
  </si>
  <si>
    <t>prąd [SEAP] Mg/MWh</t>
  </si>
  <si>
    <t>Zainteresowanie zmianą</t>
  </si>
  <si>
    <t>Zanieczyszenie</t>
  </si>
  <si>
    <t>Mg/GJ</t>
  </si>
  <si>
    <t>tak</t>
  </si>
  <si>
    <t>PM 10</t>
  </si>
  <si>
    <t>PM 2,5</t>
  </si>
  <si>
    <t>nie wiem</t>
  </si>
  <si>
    <t>Co2</t>
  </si>
  <si>
    <t>pompa ciepła</t>
  </si>
  <si>
    <t>kocioł węglowy</t>
  </si>
  <si>
    <t>Ocielenie stropu</t>
  </si>
  <si>
    <t>Ocieplenie ścian</t>
  </si>
  <si>
    <t>Okna</t>
  </si>
  <si>
    <t>S02</t>
  </si>
  <si>
    <t>nowe</t>
  </si>
  <si>
    <t>N0x</t>
  </si>
  <si>
    <t>Typ budynku</t>
  </si>
  <si>
    <t xml:space="preserve">stare </t>
  </si>
  <si>
    <t>wolnostojący</t>
  </si>
  <si>
    <t>częściowe</t>
  </si>
  <si>
    <t>szeregowiec</t>
  </si>
  <si>
    <t>bliźniak</t>
  </si>
  <si>
    <t>Uśredniony koszt za 1 kWh energii elektrycznej w gminie [zł]</t>
  </si>
  <si>
    <t>Przeciętne normy zużycia wody na jednego mieszkańca w gospodarstwach domowych [m3/mies.]</t>
  </si>
  <si>
    <t xml:space="preserve"> Zaopatrzenie ludności w wodę, cena za dostarczanie 1 m 3 wody (Wod-Kan Kielce) 
</t>
  </si>
  <si>
    <t>Przeciętne normy zużycia wody na os. - instytucje, zakłady [m3/mies.]</t>
  </si>
  <si>
    <t>Dane do obliczeń emisji</t>
  </si>
  <si>
    <t>Emisja łącznie [Mg/rok]</t>
  </si>
  <si>
    <t>CO2*</t>
  </si>
  <si>
    <t>Nośnik energii</t>
  </si>
  <si>
    <t>[GJ]</t>
  </si>
  <si>
    <t>olej</t>
  </si>
  <si>
    <t>OŹE kol. słon.</t>
  </si>
  <si>
    <t>OŹE (pompy ciepła)</t>
  </si>
  <si>
    <t>Suma:</t>
  </si>
  <si>
    <t>Zużycie energii końcowej [GJ]</t>
  </si>
  <si>
    <t>Ek cieplna</t>
  </si>
  <si>
    <t xml:space="preserve">skopiuj z BEI </t>
  </si>
  <si>
    <t>Energia elektryczna łącznie MWh</t>
  </si>
  <si>
    <t>OPTI 2032</t>
  </si>
  <si>
    <t>OPTI 2022</t>
  </si>
  <si>
    <t>pompy ciepła</t>
  </si>
  <si>
    <t>Struktura zużycia nośników energii w gminie, na potrzeby grzewcze, wg scenariusza optymistycznego</t>
  </si>
  <si>
    <r>
      <t>CO</t>
    </r>
    <r>
      <rPr>
        <b/>
        <vertAlign val="subscript"/>
        <sz val="10"/>
        <rFont val="Calibri"/>
        <family val="2"/>
        <charset val="238"/>
      </rPr>
      <t>2*</t>
    </r>
  </si>
  <si>
    <t>BaP**</t>
  </si>
  <si>
    <r>
      <t>SO</t>
    </r>
    <r>
      <rPr>
        <b/>
        <vertAlign val="subscript"/>
        <sz val="10"/>
        <rFont val="Calibri"/>
        <family val="2"/>
        <charset val="238"/>
      </rPr>
      <t>2</t>
    </r>
  </si>
  <si>
    <t>NOx</t>
  </si>
  <si>
    <t>Zmniejszenie emisji z uwagi na nowe kotły</t>
  </si>
  <si>
    <t>biomasa</t>
  </si>
  <si>
    <t>Zanieczyszczenie</t>
  </si>
  <si>
    <t>Wskaźniki emisji</t>
  </si>
  <si>
    <t>Paliwo stałe</t>
  </si>
  <si>
    <t>(z wyłączeniem biomasy)</t>
  </si>
  <si>
    <t>Gaz ziemny</t>
  </si>
  <si>
    <t>Biomasa drewno</t>
  </si>
  <si>
    <t>Kotły starej generacji</t>
  </si>
  <si>
    <t>Kotły automatyczne nowej generacji</t>
  </si>
  <si>
    <t>Pył PM10,</t>
  </si>
  <si>
    <t>g/GJ</t>
  </si>
  <si>
    <t>Pył PM2,5</t>
  </si>
  <si>
    <r>
      <t>CO</t>
    </r>
    <r>
      <rPr>
        <vertAlign val="subscript"/>
        <sz val="9"/>
        <rFont val="Calibri"/>
        <family val="2"/>
        <charset val="238"/>
      </rPr>
      <t>2</t>
    </r>
  </si>
  <si>
    <t>kg/GJ</t>
  </si>
  <si>
    <t>Benzo(a)piren</t>
  </si>
  <si>
    <t>mg/GJ</t>
  </si>
  <si>
    <t xml:space="preserve">no </t>
  </si>
  <si>
    <r>
      <t>SO</t>
    </r>
    <r>
      <rPr>
        <vertAlign val="subscript"/>
        <sz val="9"/>
        <rFont val="Calibri"/>
        <family val="2"/>
        <charset val="238"/>
      </rPr>
      <t>2</t>
    </r>
  </si>
  <si>
    <r>
      <t>NO</t>
    </r>
    <r>
      <rPr>
        <vertAlign val="subscript"/>
        <sz val="9"/>
        <rFont val="Calibri"/>
        <family val="2"/>
        <charset val="238"/>
      </rPr>
      <t>x</t>
    </r>
  </si>
  <si>
    <t>nowe termo</t>
  </si>
  <si>
    <t>% z pow</t>
  </si>
  <si>
    <t>nowe termo wyżej</t>
  </si>
  <si>
    <t>% nowej powierzchni</t>
  </si>
  <si>
    <t xml:space="preserve">było podzielone przez 2 bo 50% ludzi co zrobią termo wymieną też kocioł </t>
  </si>
  <si>
    <t>Redukcja emisji - nowoczesne kotły</t>
  </si>
  <si>
    <t>Emisja łącznie [Mg/rok] z budynków nieztermomodernizowanych (stare kotły)</t>
  </si>
  <si>
    <t>% z pow do obliczeń emisji z nowoczesnych kotłów</t>
  </si>
  <si>
    <t>jest podzielone przez 2 bo 50% ludzi co zrobią termo wymieną też kocioł w przyszłości dążyć do 100%</t>
  </si>
  <si>
    <t>NOWOCZESNE</t>
  </si>
  <si>
    <t>STARE</t>
  </si>
  <si>
    <t>SPR</t>
  </si>
  <si>
    <t>ilość wymienianych kotłów podczas prac termomodernizacyjnych</t>
  </si>
  <si>
    <t>ZANIECH 2022</t>
  </si>
  <si>
    <t>SPRAWDZENIE</t>
  </si>
  <si>
    <t>% MJ</t>
  </si>
  <si>
    <t>% MW</t>
  </si>
  <si>
    <t>% DzG</t>
  </si>
  <si>
    <t>Uż P</t>
  </si>
  <si>
    <t>ZANIECH 2032</t>
  </si>
  <si>
    <t>Kopiuje</t>
  </si>
  <si>
    <t>[%]</t>
  </si>
  <si>
    <t>Zużycie w sektorach 1-4 wg rozdz. 4.2.3</t>
  </si>
  <si>
    <t>Zużycie w sektorze 5 wg rozdz. 4.2.3 (Przemysł)</t>
  </si>
  <si>
    <t>łączne zużycie w sektorach 1-5 wg rozdz. 4.2.3</t>
  </si>
  <si>
    <r>
      <t>Zużycie gazu [ m</t>
    </r>
    <r>
      <rPr>
        <b/>
        <vertAlign val="superscript"/>
        <sz val="10"/>
        <color theme="1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</rPr>
      <t>/rok] WG SCENARIUSZY</t>
    </r>
  </si>
  <si>
    <t>OPTI</t>
  </si>
  <si>
    <t>średnia</t>
  </si>
  <si>
    <t>NEGAT</t>
  </si>
  <si>
    <t>Energia elektryczna</t>
  </si>
  <si>
    <r>
      <t>Zużycie prądu</t>
    </r>
    <r>
      <rPr>
        <b/>
        <sz val="10"/>
        <color theme="1"/>
        <rFont val="Calibri"/>
        <family val="2"/>
        <charset val="238"/>
      </rPr>
      <t xml:space="preserve"> WG SCENARIUSZY</t>
    </r>
  </si>
  <si>
    <t>Procent wzrostu wpisać na zerowej termo</t>
  </si>
  <si>
    <t xml:space="preserve"> potem przepisać z łapy do wpisania w założenia w BEI</t>
  </si>
  <si>
    <t>wsp obniz</t>
  </si>
  <si>
    <t>rocznie</t>
  </si>
  <si>
    <t>wzór:</t>
  </si>
  <si>
    <t xml:space="preserve"> = (1-x)*2,31%</t>
  </si>
  <si>
    <t>o tyle wzrośnie zużycie bez efektu termo</t>
  </si>
  <si>
    <r>
      <t>Zużycie gazu [m</t>
    </r>
    <r>
      <rPr>
        <b/>
        <vertAlign val="superscript"/>
        <sz val="10"/>
        <rFont val="Calibri"/>
        <family val="2"/>
        <charset val="238"/>
      </rPr>
      <t>3</t>
    </r>
    <r>
      <rPr>
        <b/>
        <sz val="10"/>
        <rFont val="Calibri"/>
        <family val="2"/>
        <charset val="238"/>
      </rPr>
      <t>/rok]</t>
    </r>
  </si>
  <si>
    <t>Zmiana [%]</t>
  </si>
  <si>
    <t>Gospo</t>
  </si>
  <si>
    <t>Przem</t>
  </si>
  <si>
    <t>PGN Mieszk GJ</t>
  </si>
  <si>
    <t>Pz</t>
  </si>
  <si>
    <t>sieć osiedlowa</t>
  </si>
  <si>
    <t>Prąd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</si>
</sst>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z_ł_-;\-* #,##0.00\ _z_ł_-;_-* &quot;-&quot;??\ _z_ł_-;_-@_-"/>
    <numFmt numFmtId="164" formatCode="0.0"/>
    <numFmt numFmtId="165" formatCode="0.00000000000"/>
    <numFmt numFmtId="166" formatCode="0.0%"/>
    <numFmt numFmtId="167" formatCode="_-* #,##0.0\ _z_ł_-;\-* #,##0.0\ _z_ł_-;_-* &quot;-&quot;??\ _z_ł_-;_-@_-"/>
    <numFmt numFmtId="168" formatCode="_-* #,##0\ _z_ł_-;\-* #,##0\ _z_ł_-;_-* &quot;-&quot;??\ _z_ł_-;_-@_-"/>
    <numFmt numFmtId="169" formatCode="_-* #,##0.000\ _z_ł_-;\-* #,##0.000\ _z_ł_-;_-* &quot;-&quot;??\ _z_ł_-;_-@_-"/>
    <numFmt numFmtId="170" formatCode="0.000"/>
    <numFmt numFmtId="171" formatCode="0.0000"/>
    <numFmt numFmtId="172" formatCode="0.000%"/>
    <numFmt numFmtId="173" formatCode="_-* #,##0.000\ _z_ł_-;\-* #,##0.000\ _z_ł_-;_-* &quot;-&quot;???\ _z_ł_-;_-@_-"/>
    <numFmt numFmtId="174" formatCode="0.0000%"/>
    <numFmt numFmtId="175" formatCode="[$-10419]0"/>
    <numFmt numFmtId="176" formatCode="0.0000000000000"/>
    <numFmt numFmtId="177" formatCode="_-* #,##0.0\ _z_ł_-;\-* #,##0.0\ _z_ł_-;_-* &quot;-&quot;?\ _z_ł_-;_-@_-"/>
  </numFmts>
  <fonts count="11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25"/>
      <name val="Arial"/>
      <family val="2"/>
      <charset val="238"/>
    </font>
    <font>
      <b/>
      <vertAlign val="superscript"/>
      <sz val="10"/>
      <color indexed="25"/>
      <name val="Arial"/>
      <family val="2"/>
      <charset val="238"/>
    </font>
    <font>
      <sz val="10"/>
      <color indexed="25"/>
      <name val="Arial"/>
      <family val="2"/>
      <charset val="238"/>
    </font>
    <font>
      <sz val="11"/>
      <name val="Calibri"/>
      <family val="2"/>
      <charset val="238"/>
    </font>
    <font>
      <b/>
      <sz val="11"/>
      <name val="Cambria"/>
      <family val="1"/>
      <charset val="238"/>
    </font>
    <font>
      <sz val="9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</font>
    <font>
      <sz val="12"/>
      <name val="Times New Roman"/>
      <family val="1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.5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vertAlign val="subscript"/>
      <sz val="10"/>
      <name val="Arial CE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808080"/>
      <name val="Calibri"/>
      <family val="2"/>
      <charset val="238"/>
    </font>
    <font>
      <vertAlign val="superscript"/>
      <sz val="10"/>
      <name val="Arial CE"/>
      <family val="2"/>
      <charset val="238"/>
    </font>
    <font>
      <sz val="9"/>
      <name val="Calibri"/>
      <family val="2"/>
      <charset val="238"/>
    </font>
    <font>
      <vertAlign val="subscript"/>
      <sz val="10"/>
      <name val="Calibri"/>
      <family val="2"/>
      <charset val="238"/>
    </font>
    <font>
      <sz val="10"/>
      <color rgb="FF00B050"/>
      <name val="Calibri"/>
      <family val="2"/>
      <charset val="238"/>
    </font>
    <font>
      <sz val="10"/>
      <color rgb="FFC0504D"/>
      <name val="Calibri"/>
      <family val="2"/>
      <charset val="238"/>
    </font>
    <font>
      <b/>
      <sz val="9"/>
      <name val="Arial"/>
      <family val="2"/>
      <charset val="238"/>
    </font>
    <font>
      <sz val="8"/>
      <color rgb="FF000000"/>
      <name val="Tahoma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2"/>
      <color rgb="FF0070C0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sz val="11"/>
      <color rgb="FF000000"/>
      <name val="Calibri"/>
      <family val="2"/>
      <scheme val="minor"/>
    </font>
    <font>
      <sz val="8"/>
      <color rgb="FF000000"/>
      <name val="Verdana"/>
      <family val="2"/>
      <charset val="238"/>
    </font>
    <font>
      <sz val="6"/>
      <color theme="1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</font>
    <font>
      <b/>
      <sz val="10"/>
      <name val="Calibri"/>
      <family val="2"/>
      <charset val="238"/>
    </font>
    <font>
      <vertAlign val="superscript"/>
      <sz val="10"/>
      <name val="Arial"/>
      <family val="2"/>
      <charset val="238"/>
    </font>
    <font>
      <sz val="9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</font>
    <font>
      <b/>
      <sz val="10"/>
      <name val="Calibri"/>
      <family val="2"/>
      <charset val="238"/>
    </font>
    <font>
      <sz val="7"/>
      <name val="Arial"/>
      <family val="2"/>
      <charset val="238"/>
    </font>
    <font>
      <sz val="9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sz val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6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9"/>
      <color indexed="81"/>
      <name val="Tahoma"/>
      <family val="2"/>
      <charset val="238"/>
    </font>
    <font>
      <b/>
      <sz val="9"/>
      <color theme="1"/>
      <name val="Czcionka tekstu podstawowego"/>
      <charset val="238"/>
    </font>
    <font>
      <sz val="9"/>
      <name val="Arial"/>
      <family val="2"/>
      <charset val="238"/>
    </font>
    <font>
      <b/>
      <sz val="14"/>
      <color theme="1"/>
      <name val="Czcionka tekstu podstawowego"/>
      <charset val="238"/>
    </font>
    <font>
      <sz val="9"/>
      <color theme="1"/>
      <name val="Czcionka tekstu podstawowego"/>
      <charset val="238"/>
    </font>
    <font>
      <u/>
      <sz val="11"/>
      <color theme="10"/>
      <name val="Czcionka tekstu podstawowego"/>
      <family val="2"/>
      <charset val="238"/>
    </font>
    <font>
      <b/>
      <vertAlign val="subscript"/>
      <sz val="10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name val="Calibri"/>
      <family val="2"/>
      <charset val="238"/>
    </font>
    <font>
      <vertAlign val="subscript"/>
      <sz val="9"/>
      <name val="Calibri"/>
      <family val="2"/>
      <charset val="238"/>
    </font>
    <font>
      <sz val="15"/>
      <color theme="1"/>
      <name val="Czcionka tekstu podstawowego"/>
      <family val="2"/>
      <charset val="238"/>
    </font>
    <font>
      <sz val="8"/>
      <color rgb="FF000000"/>
      <name val="Verdana"/>
      <family val="2"/>
      <charset val="238"/>
    </font>
    <font>
      <b/>
      <sz val="10"/>
      <color theme="1"/>
      <name val="Czcionka tekstu podstawowego"/>
      <charset val="238"/>
    </font>
    <font>
      <b/>
      <sz val="10"/>
      <color theme="1"/>
      <name val="Calibri"/>
      <family val="2"/>
      <charset val="238"/>
    </font>
    <font>
      <b/>
      <vertAlign val="superscript"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4F81BD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sz val="8"/>
      <color rgb="FF000000"/>
      <name val="Verdana"/>
    </font>
  </fonts>
  <fills count="3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ABF8F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4E43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78899"/>
      </left>
      <right style="thin">
        <color rgb="FF778899"/>
      </right>
      <top/>
      <bottom style="dotted">
        <color rgb="FF778899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27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1" fillId="0" borderId="0"/>
    <xf numFmtId="0" fontId="86" fillId="0" borderId="0"/>
    <xf numFmtId="43" fontId="86" fillId="0" borderId="0" applyFont="0" applyFill="0" applyBorder="0" applyAlignment="0" applyProtection="0"/>
    <xf numFmtId="9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86" fillId="0" borderId="0"/>
    <xf numFmtId="9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216">
    <xf numFmtId="0" fontId="0" fillId="0" borderId="0" xfId="0"/>
    <xf numFmtId="164" fontId="0" fillId="0" borderId="0" xfId="0" applyNumberFormat="1"/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7" fillId="0" borderId="0" xfId="0" applyFont="1"/>
    <xf numFmtId="3" fontId="12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3" fontId="12" fillId="0" borderId="6" xfId="0" applyNumberFormat="1" applyFont="1" applyBorder="1" applyAlignment="1">
      <alignment horizontal="center"/>
    </xf>
    <xf numFmtId="3" fontId="13" fillId="0" borderId="0" xfId="0" applyNumberFormat="1" applyFont="1"/>
    <xf numFmtId="0" fontId="13" fillId="0" borderId="0" xfId="0" applyFont="1"/>
    <xf numFmtId="0" fontId="14" fillId="0" borderId="0" xfId="0" applyFont="1"/>
    <xf numFmtId="3" fontId="12" fillId="0" borderId="0" xfId="0" applyNumberFormat="1" applyFont="1" applyFill="1" applyBorder="1" applyAlignment="1">
      <alignment horizontal="center"/>
    </xf>
    <xf numFmtId="0" fontId="15" fillId="0" borderId="0" xfId="0" applyFont="1"/>
    <xf numFmtId="0" fontId="12" fillId="0" borderId="7" xfId="0" applyFont="1" applyBorder="1" applyAlignment="1">
      <alignment horizontal="justify" wrapText="1"/>
    </xf>
    <xf numFmtId="0" fontId="12" fillId="0" borderId="8" xfId="0" applyFont="1" applyBorder="1" applyAlignment="1">
      <alignment horizontal="justify" wrapText="1"/>
    </xf>
    <xf numFmtId="0" fontId="16" fillId="0" borderId="9" xfId="0" applyFont="1" applyBorder="1" applyAlignment="1">
      <alignment horizontal="justify" wrapText="1"/>
    </xf>
    <xf numFmtId="0" fontId="16" fillId="0" borderId="10" xfId="0" applyFont="1" applyBorder="1" applyAlignment="1">
      <alignment horizontal="justify" wrapText="1"/>
    </xf>
    <xf numFmtId="0" fontId="16" fillId="0" borderId="11" xfId="0" applyFont="1" applyBorder="1" applyAlignment="1">
      <alignment horizontal="justify" vertical="top" wrapText="1"/>
    </xf>
    <xf numFmtId="0" fontId="16" fillId="0" borderId="7" xfId="0" applyFont="1" applyBorder="1" applyAlignment="1">
      <alignment horizontal="justify" wrapText="1"/>
    </xf>
    <xf numFmtId="0" fontId="18" fillId="0" borderId="7" xfId="0" applyFont="1" applyBorder="1" applyAlignment="1">
      <alignment horizontal="justify" wrapText="1"/>
    </xf>
    <xf numFmtId="9" fontId="18" fillId="0" borderId="7" xfId="0" applyNumberFormat="1" applyFont="1" applyBorder="1" applyAlignment="1">
      <alignment horizontal="justify" wrapText="1"/>
    </xf>
    <xf numFmtId="9" fontId="18" fillId="0" borderId="8" xfId="0" applyNumberFormat="1" applyFont="1" applyBorder="1" applyAlignment="1">
      <alignment horizontal="justify" wrapText="1"/>
    </xf>
    <xf numFmtId="9" fontId="18" fillId="0" borderId="12" xfId="0" applyNumberFormat="1" applyFont="1" applyBorder="1" applyAlignment="1">
      <alignment horizontal="justify" vertical="top" wrapText="1"/>
    </xf>
    <xf numFmtId="3" fontId="0" fillId="0" borderId="0" xfId="0" applyNumberFormat="1"/>
    <xf numFmtId="9" fontId="0" fillId="0" borderId="0" xfId="0" applyNumberFormat="1"/>
    <xf numFmtId="0" fontId="16" fillId="0" borderId="13" xfId="0" applyFont="1" applyBorder="1" applyAlignment="1">
      <alignment horizontal="justify" vertical="top" wrapText="1"/>
    </xf>
    <xf numFmtId="1" fontId="6" fillId="2" borderId="0" xfId="0" applyNumberFormat="1" applyFont="1" applyFill="1"/>
    <xf numFmtId="0" fontId="12" fillId="0" borderId="0" xfId="0" applyFont="1" applyFill="1"/>
    <xf numFmtId="2" fontId="0" fillId="0" borderId="0" xfId="0" applyNumberFormat="1"/>
    <xf numFmtId="0" fontId="20" fillId="0" borderId="0" xfId="0" applyFont="1"/>
    <xf numFmtId="2" fontId="19" fillId="0" borderId="25" xfId="0" applyNumberFormat="1" applyFont="1" applyBorder="1" applyAlignment="1">
      <alignment horizontal="center" wrapText="1"/>
    </xf>
    <xf numFmtId="0" fontId="12" fillId="0" borderId="0" xfId="0" applyFont="1"/>
    <xf numFmtId="0" fontId="0" fillId="4" borderId="0" xfId="0" applyFill="1"/>
    <xf numFmtId="4" fontId="19" fillId="0" borderId="0" xfId="0" applyNumberFormat="1" applyFont="1"/>
    <xf numFmtId="165" fontId="0" fillId="0" borderId="0" xfId="0" applyNumberFormat="1"/>
    <xf numFmtId="0" fontId="16" fillId="4" borderId="9" xfId="0" applyFont="1" applyFill="1" applyBorder="1" applyAlignment="1">
      <alignment horizontal="justify" wrapText="1"/>
    </xf>
    <xf numFmtId="0" fontId="16" fillId="4" borderId="7" xfId="0" applyFont="1" applyFill="1" applyBorder="1" applyAlignment="1">
      <alignment horizontal="justify" wrapText="1"/>
    </xf>
    <xf numFmtId="0" fontId="12" fillId="4" borderId="0" xfId="0" applyFont="1" applyFill="1"/>
    <xf numFmtId="0" fontId="12" fillId="3" borderId="0" xfId="0" applyFont="1" applyFill="1"/>
    <xf numFmtId="0" fontId="21" fillId="0" borderId="6" xfId="0" applyFont="1" applyBorder="1" applyAlignment="1">
      <alignment horizontal="right" wrapText="1"/>
    </xf>
    <xf numFmtId="0" fontId="22" fillId="0" borderId="27" xfId="0" applyFont="1" applyBorder="1" applyAlignment="1">
      <alignment horizontal="right" vertical="top" wrapText="1"/>
    </xf>
    <xf numFmtId="0" fontId="22" fillId="0" borderId="25" xfId="0" applyFont="1" applyBorder="1" applyAlignment="1">
      <alignment horizontal="right" vertical="top" wrapText="1"/>
    </xf>
    <xf numFmtId="0" fontId="12" fillId="5" borderId="0" xfId="0" applyFont="1" applyFill="1"/>
    <xf numFmtId="0" fontId="23" fillId="0" borderId="5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4" fontId="23" fillId="0" borderId="0" xfId="0" applyNumberFormat="1" applyFont="1"/>
    <xf numFmtId="0" fontId="0" fillId="6" borderId="0" xfId="0" applyFill="1"/>
    <xf numFmtId="0" fontId="19" fillId="0" borderId="31" xfId="0" applyFont="1" applyBorder="1" applyAlignment="1">
      <alignment horizontal="justify" vertical="top" wrapText="1"/>
    </xf>
    <xf numFmtId="0" fontId="19" fillId="0" borderId="32" xfId="0" applyFont="1" applyBorder="1" applyAlignment="1">
      <alignment horizontal="justify" vertical="top" wrapText="1"/>
    </xf>
    <xf numFmtId="0" fontId="19" fillId="0" borderId="33" xfId="0" applyFont="1" applyBorder="1" applyAlignment="1">
      <alignment horizontal="justify" vertical="top" wrapText="1"/>
    </xf>
    <xf numFmtId="0" fontId="19" fillId="0" borderId="34" xfId="0" applyFont="1" applyBorder="1" applyAlignment="1">
      <alignment horizontal="justify" vertical="top" wrapText="1"/>
    </xf>
    <xf numFmtId="0" fontId="19" fillId="0" borderId="35" xfId="0" applyFont="1" applyBorder="1" applyAlignment="1">
      <alignment horizontal="justify" vertical="top" wrapText="1"/>
    </xf>
    <xf numFmtId="0" fontId="19" fillId="0" borderId="36" xfId="0" applyFont="1" applyBorder="1" applyAlignment="1">
      <alignment horizontal="justify" vertical="top" wrapText="1"/>
    </xf>
    <xf numFmtId="0" fontId="24" fillId="0" borderId="28" xfId="0" applyFont="1" applyBorder="1" applyAlignment="1">
      <alignment horizontal="center" vertical="top" wrapText="1"/>
    </xf>
    <xf numFmtId="0" fontId="24" fillId="0" borderId="29" xfId="0" applyFont="1" applyBorder="1" applyAlignment="1">
      <alignment horizontal="center" vertical="top" wrapText="1"/>
    </xf>
    <xf numFmtId="0" fontId="24" fillId="0" borderId="30" xfId="0" applyFont="1" applyBorder="1" applyAlignment="1">
      <alignment horizontal="center" vertical="top" wrapText="1"/>
    </xf>
    <xf numFmtId="0" fontId="12" fillId="6" borderId="0" xfId="0" applyFont="1" applyFill="1"/>
    <xf numFmtId="4" fontId="24" fillId="0" borderId="30" xfId="0" applyNumberFormat="1" applyFont="1" applyBorder="1" applyAlignment="1">
      <alignment horizontal="center" vertical="top" wrapText="1"/>
    </xf>
    <xf numFmtId="0" fontId="6" fillId="0" borderId="0" xfId="0" applyFont="1"/>
    <xf numFmtId="3" fontId="25" fillId="0" borderId="0" xfId="0" applyNumberFormat="1" applyFont="1"/>
    <xf numFmtId="0" fontId="6" fillId="7" borderId="0" xfId="0" applyFont="1" applyFill="1"/>
    <xf numFmtId="0" fontId="0" fillId="7" borderId="0" xfId="0" applyFill="1"/>
    <xf numFmtId="3" fontId="25" fillId="7" borderId="0" xfId="0" applyNumberFormat="1" applyFont="1" applyFill="1"/>
    <xf numFmtId="0" fontId="25" fillId="0" borderId="0" xfId="0" applyFont="1"/>
    <xf numFmtId="0" fontId="19" fillId="0" borderId="31" xfId="0" applyFont="1" applyBorder="1" applyAlignment="1">
      <alignment horizontal="center" wrapText="1"/>
    </xf>
    <xf numFmtId="9" fontId="6" fillId="0" borderId="32" xfId="0" applyNumberFormat="1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9" fontId="6" fillId="0" borderId="34" xfId="0" applyNumberFormat="1" applyFont="1" applyBorder="1" applyAlignment="1">
      <alignment horizontal="center" wrapText="1"/>
    </xf>
    <xf numFmtId="0" fontId="6" fillId="0" borderId="35" xfId="0" applyFont="1" applyBorder="1" applyAlignment="1">
      <alignment horizontal="center" wrapText="1"/>
    </xf>
    <xf numFmtId="9" fontId="6" fillId="0" borderId="36" xfId="0" applyNumberFormat="1" applyFont="1" applyBorder="1" applyAlignment="1">
      <alignment horizontal="center" wrapText="1"/>
    </xf>
    <xf numFmtId="4" fontId="0" fillId="0" borderId="0" xfId="0" applyNumberFormat="1"/>
    <xf numFmtId="0" fontId="21" fillId="0" borderId="6" xfId="0" applyFont="1" applyFill="1" applyBorder="1" applyAlignment="1">
      <alignment horizontal="right" wrapText="1"/>
    </xf>
    <xf numFmtId="0" fontId="0" fillId="0" borderId="0" xfId="0" applyFill="1"/>
    <xf numFmtId="0" fontId="0" fillId="8" borderId="0" xfId="0" applyFill="1"/>
    <xf numFmtId="9" fontId="0" fillId="8" borderId="0" xfId="0" applyNumberFormat="1" applyFill="1"/>
    <xf numFmtId="0" fontId="7" fillId="8" borderId="0" xfId="0" applyFont="1" applyFill="1"/>
    <xf numFmtId="0" fontId="6" fillId="8" borderId="0" xfId="0" applyFont="1" applyFill="1"/>
    <xf numFmtId="0" fontId="6" fillId="0" borderId="0" xfId="0" applyFont="1" applyFill="1"/>
    <xf numFmtId="43" fontId="0" fillId="4" borderId="0" xfId="1" applyFont="1" applyFill="1"/>
    <xf numFmtId="0" fontId="16" fillId="0" borderId="9" xfId="0" applyFont="1" applyFill="1" applyBorder="1" applyAlignment="1">
      <alignment horizontal="justify" wrapText="1"/>
    </xf>
    <xf numFmtId="0" fontId="16" fillId="0" borderId="10" xfId="0" applyFont="1" applyFill="1" applyBorder="1" applyAlignment="1">
      <alignment horizontal="justify" wrapText="1"/>
    </xf>
    <xf numFmtId="0" fontId="16" fillId="0" borderId="11" xfId="0" applyFont="1" applyFill="1" applyBorder="1" applyAlignment="1">
      <alignment horizontal="justify" vertical="top" wrapText="1"/>
    </xf>
    <xf numFmtId="164" fontId="16" fillId="0" borderId="7" xfId="0" applyNumberFormat="1" applyFont="1" applyFill="1" applyBorder="1" applyAlignment="1">
      <alignment horizontal="justify" wrapText="1"/>
    </xf>
    <xf numFmtId="1" fontId="18" fillId="0" borderId="7" xfId="0" applyNumberFormat="1" applyFont="1" applyFill="1" applyBorder="1" applyAlignment="1">
      <alignment horizontal="justify" wrapText="1"/>
    </xf>
    <xf numFmtId="43" fontId="0" fillId="0" borderId="0" xfId="0" applyNumberFormat="1"/>
    <xf numFmtId="43" fontId="12" fillId="4" borderId="29" xfId="1" applyFont="1" applyFill="1" applyBorder="1" applyAlignment="1">
      <alignment horizontal="center"/>
    </xf>
    <xf numFmtId="1" fontId="0" fillId="0" borderId="0" xfId="0" applyNumberFormat="1" applyFill="1"/>
    <xf numFmtId="167" fontId="16" fillId="4" borderId="7" xfId="1" applyNumberFormat="1" applyFont="1" applyFill="1" applyBorder="1" applyAlignment="1">
      <alignment horizontal="justify" wrapText="1"/>
    </xf>
    <xf numFmtId="167" fontId="16" fillId="0" borderId="7" xfId="1" applyNumberFormat="1" applyFont="1" applyFill="1" applyBorder="1" applyAlignment="1">
      <alignment horizontal="justify" wrapText="1"/>
    </xf>
    <xf numFmtId="166" fontId="18" fillId="4" borderId="7" xfId="1" applyNumberFormat="1" applyFont="1" applyFill="1" applyBorder="1" applyAlignment="1">
      <alignment horizontal="justify" wrapText="1"/>
    </xf>
    <xf numFmtId="166" fontId="18" fillId="0" borderId="7" xfId="1" applyNumberFormat="1" applyFont="1" applyFill="1" applyBorder="1" applyAlignment="1">
      <alignment horizontal="justify" wrapText="1"/>
    </xf>
    <xf numFmtId="166" fontId="18" fillId="0" borderId="8" xfId="1" applyNumberFormat="1" applyFont="1" applyFill="1" applyBorder="1" applyAlignment="1">
      <alignment horizontal="justify" wrapText="1"/>
    </xf>
    <xf numFmtId="166" fontId="18" fillId="0" borderId="12" xfId="1" applyNumberFormat="1" applyFont="1" applyFill="1" applyBorder="1" applyAlignment="1">
      <alignment horizontal="justify" vertical="top" wrapText="1"/>
    </xf>
    <xf numFmtId="168" fontId="26" fillId="9" borderId="0" xfId="1" applyNumberFormat="1" applyFont="1" applyFill="1"/>
    <xf numFmtId="168" fontId="18" fillId="9" borderId="7" xfId="1" applyNumberFormat="1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center" wrapText="1"/>
    </xf>
    <xf numFmtId="0" fontId="6" fillId="0" borderId="0" xfId="0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 applyAlignment="1">
      <alignment horizontal="justify" wrapText="1"/>
    </xf>
    <xf numFmtId="3" fontId="6" fillId="0" borderId="0" xfId="0" applyNumberFormat="1" applyFont="1" applyFill="1" applyBorder="1" applyAlignment="1">
      <alignment horizontal="center"/>
    </xf>
    <xf numFmtId="9" fontId="19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right" vertical="top" wrapText="1"/>
    </xf>
    <xf numFmtId="0" fontId="25" fillId="0" borderId="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0" xfId="0" applyFont="1" applyFill="1"/>
    <xf numFmtId="0" fontId="0" fillId="3" borderId="0" xfId="0" applyFill="1"/>
    <xf numFmtId="0" fontId="25" fillId="0" borderId="38" xfId="0" applyFont="1" applyBorder="1" applyAlignment="1">
      <alignment vertical="center" wrapText="1"/>
    </xf>
    <xf numFmtId="0" fontId="25" fillId="0" borderId="39" xfId="0" applyFont="1" applyBorder="1" applyAlignment="1">
      <alignment vertical="center" wrapText="1"/>
    </xf>
    <xf numFmtId="0" fontId="25" fillId="0" borderId="4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3" fillId="0" borderId="39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17" fontId="25" fillId="0" borderId="39" xfId="0" applyNumberFormat="1" applyFont="1" applyBorder="1" applyAlignment="1">
      <alignment horizontal="center" vertical="center" wrapText="1"/>
    </xf>
    <xf numFmtId="0" fontId="23" fillId="0" borderId="41" xfId="0" applyFont="1" applyBorder="1" applyAlignment="1">
      <alignment vertical="center" wrapText="1"/>
    </xf>
    <xf numFmtId="0" fontId="23" fillId="0" borderId="42" xfId="0" applyFont="1" applyBorder="1" applyAlignment="1">
      <alignment vertical="center" wrapText="1"/>
    </xf>
    <xf numFmtId="0" fontId="25" fillId="0" borderId="39" xfId="0" applyFont="1" applyBorder="1" applyAlignment="1">
      <alignment horizontal="center" vertical="center" wrapText="1"/>
    </xf>
    <xf numFmtId="0" fontId="25" fillId="0" borderId="4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17" fontId="23" fillId="0" borderId="39" xfId="0" applyNumberFormat="1" applyFont="1" applyBorder="1" applyAlignment="1">
      <alignment vertical="center" wrapText="1"/>
    </xf>
    <xf numFmtId="0" fontId="25" fillId="0" borderId="41" xfId="0" applyFont="1" applyBorder="1" applyAlignment="1">
      <alignment vertical="center" wrapText="1"/>
    </xf>
    <xf numFmtId="16" fontId="25" fillId="0" borderId="39" xfId="0" applyNumberFormat="1" applyFont="1" applyBorder="1" applyAlignment="1">
      <alignment vertical="center" wrapText="1"/>
    </xf>
    <xf numFmtId="17" fontId="25" fillId="0" borderId="39" xfId="0" applyNumberFormat="1" applyFont="1" applyBorder="1" applyAlignment="1">
      <alignment vertical="center" wrapText="1"/>
    </xf>
    <xf numFmtId="0" fontId="25" fillId="0" borderId="25" xfId="0" applyFont="1" applyBorder="1" applyAlignment="1">
      <alignment horizontal="center" vertical="center" wrapText="1"/>
    </xf>
    <xf numFmtId="43" fontId="0" fillId="3" borderId="0" xfId="1" applyFont="1" applyFill="1"/>
    <xf numFmtId="0" fontId="25" fillId="11" borderId="39" xfId="0" applyFont="1" applyFill="1" applyBorder="1" applyAlignment="1">
      <alignment vertical="center" wrapText="1"/>
    </xf>
    <xf numFmtId="0" fontId="6" fillId="11" borderId="0" xfId="0" applyFont="1" applyFill="1"/>
    <xf numFmtId="0" fontId="25" fillId="11" borderId="39" xfId="0" applyFont="1" applyFill="1" applyBorder="1" applyAlignment="1">
      <alignment horizontal="center" vertical="center" wrapText="1"/>
    </xf>
    <xf numFmtId="0" fontId="25" fillId="12" borderId="39" xfId="0" applyFont="1" applyFill="1" applyBorder="1" applyAlignment="1">
      <alignment vertical="center" wrapText="1"/>
    </xf>
    <xf numFmtId="0" fontId="6" fillId="12" borderId="0" xfId="0" applyFont="1" applyFill="1"/>
    <xf numFmtId="43" fontId="0" fillId="4" borderId="0" xfId="0" applyNumberFormat="1" applyFill="1"/>
    <xf numFmtId="43" fontId="12" fillId="10" borderId="28" xfId="1" applyFont="1" applyFill="1" applyBorder="1" applyAlignment="1">
      <alignment horizontal="center"/>
    </xf>
    <xf numFmtId="43" fontId="12" fillId="10" borderId="30" xfId="1" applyFont="1" applyFill="1" applyBorder="1" applyAlignment="1">
      <alignment horizontal="center"/>
    </xf>
    <xf numFmtId="43" fontId="6" fillId="10" borderId="0" xfId="1" applyFont="1" applyFill="1"/>
    <xf numFmtId="43" fontId="0" fillId="0" borderId="0" xfId="1" applyFont="1" applyFill="1"/>
    <xf numFmtId="43" fontId="0" fillId="0" borderId="0" xfId="0" applyNumberFormat="1" applyFill="1"/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164" fontId="0" fillId="0" borderId="0" xfId="0" applyNumberFormat="1" applyFill="1"/>
    <xf numFmtId="0" fontId="25" fillId="0" borderId="0" xfId="0" applyFont="1" applyFill="1"/>
    <xf numFmtId="3" fontId="25" fillId="0" borderId="0" xfId="0" applyNumberFormat="1" applyFont="1" applyFill="1"/>
    <xf numFmtId="0" fontId="9" fillId="0" borderId="0" xfId="0" applyFont="1" applyFill="1" applyBorder="1" applyAlignment="1">
      <alignment horizontal="center"/>
    </xf>
    <xf numFmtId="3" fontId="0" fillId="0" borderId="0" xfId="0" applyNumberFormat="1" applyFill="1"/>
    <xf numFmtId="0" fontId="7" fillId="4" borderId="0" xfId="0" applyFont="1" applyFill="1"/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9" fontId="10" fillId="0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9" fontId="9" fillId="9" borderId="3" xfId="0" applyNumberFormat="1" applyFont="1" applyFill="1" applyBorder="1" applyAlignment="1">
      <alignment horizontal="center" wrapText="1"/>
    </xf>
    <xf numFmtId="0" fontId="9" fillId="9" borderId="3" xfId="0" applyFont="1" applyFill="1" applyBorder="1" applyAlignment="1">
      <alignment horizontal="center" wrapText="1"/>
    </xf>
    <xf numFmtId="43" fontId="9" fillId="9" borderId="1" xfId="0" applyNumberFormat="1" applyFont="1" applyFill="1" applyBorder="1" applyAlignment="1">
      <alignment horizontal="center" wrapText="1"/>
    </xf>
    <xf numFmtId="0" fontId="0" fillId="9" borderId="1" xfId="0" applyFill="1" applyBorder="1"/>
    <xf numFmtId="1" fontId="0" fillId="0" borderId="1" xfId="0" applyNumberFormat="1" applyFill="1" applyBorder="1"/>
    <xf numFmtId="10" fontId="9" fillId="13" borderId="0" xfId="0" applyNumberFormat="1" applyFont="1" applyFill="1" applyBorder="1" applyAlignment="1">
      <alignment horizontal="center" vertical="center"/>
    </xf>
    <xf numFmtId="9" fontId="9" fillId="9" borderId="2" xfId="0" applyNumberFormat="1" applyFont="1" applyFill="1" applyBorder="1" applyAlignment="1">
      <alignment horizontal="center" wrapText="1"/>
    </xf>
    <xf numFmtId="0" fontId="6" fillId="4" borderId="0" xfId="0" applyFont="1" applyFill="1"/>
    <xf numFmtId="9" fontId="9" fillId="9" borderId="4" xfId="0" applyNumberFormat="1" applyFont="1" applyFill="1" applyBorder="1" applyAlignment="1">
      <alignment horizontal="center" wrapText="1"/>
    </xf>
    <xf numFmtId="0" fontId="9" fillId="9" borderId="4" xfId="0" applyFont="1" applyFill="1" applyBorder="1" applyAlignment="1">
      <alignment horizontal="center" wrapText="1"/>
    </xf>
    <xf numFmtId="0" fontId="9" fillId="13" borderId="0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horizontal="center" wrapText="1"/>
    </xf>
    <xf numFmtId="2" fontId="0" fillId="0" borderId="0" xfId="0" applyNumberFormat="1" applyFill="1"/>
    <xf numFmtId="43" fontId="0" fillId="13" borderId="1" xfId="0" applyNumberFormat="1" applyFill="1" applyBorder="1"/>
    <xf numFmtId="0" fontId="0" fillId="13" borderId="1" xfId="0" applyFill="1" applyBorder="1"/>
    <xf numFmtId="0" fontId="0" fillId="0" borderId="0" xfId="0" applyFill="1" applyBorder="1"/>
    <xf numFmtId="3" fontId="0" fillId="13" borderId="0" xfId="0" applyNumberFormat="1" applyFill="1"/>
    <xf numFmtId="3" fontId="0" fillId="9" borderId="0" xfId="0" applyNumberFormat="1" applyFill="1"/>
    <xf numFmtId="0" fontId="7" fillId="0" borderId="0" xfId="0" applyFont="1" applyFill="1"/>
    <xf numFmtId="4" fontId="24" fillId="3" borderId="0" xfId="0" applyNumberFormat="1" applyFont="1" applyFill="1"/>
    <xf numFmtId="10" fontId="0" fillId="0" borderId="0" xfId="0" applyNumberFormat="1" applyFill="1"/>
    <xf numFmtId="0" fontId="21" fillId="0" borderId="5" xfId="0" applyFont="1" applyFill="1" applyBorder="1" applyAlignment="1">
      <alignment horizontal="right" wrapText="1"/>
    </xf>
    <xf numFmtId="0" fontId="22" fillId="0" borderId="27" xfId="0" applyFont="1" applyFill="1" applyBorder="1" applyAlignment="1">
      <alignment horizontal="right" vertical="top" wrapText="1"/>
    </xf>
    <xf numFmtId="0" fontId="22" fillId="0" borderId="25" xfId="0" applyFont="1" applyFill="1" applyBorder="1" applyAlignment="1">
      <alignment horizontal="right" vertical="top" wrapText="1"/>
    </xf>
    <xf numFmtId="0" fontId="19" fillId="4" borderId="0" xfId="0" applyFont="1" applyFill="1"/>
    <xf numFmtId="10" fontId="0" fillId="3" borderId="0" xfId="0" applyNumberFormat="1" applyFill="1"/>
    <xf numFmtId="0" fontId="6" fillId="4" borderId="29" xfId="0" applyFont="1" applyFill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2" fontId="28" fillId="14" borderId="5" xfId="0" applyNumberFormat="1" applyFont="1" applyFill="1" applyBorder="1" applyAlignment="1">
      <alignment horizontal="center" wrapText="1"/>
    </xf>
    <xf numFmtId="2" fontId="28" fillId="14" borderId="45" xfId="0" applyNumberFormat="1" applyFont="1" applyFill="1" applyBorder="1" applyAlignment="1">
      <alignment horizontal="center" wrapText="1"/>
    </xf>
    <xf numFmtId="2" fontId="0" fillId="4" borderId="0" xfId="0" applyNumberFormat="1" applyFill="1"/>
    <xf numFmtId="3" fontId="19" fillId="0" borderId="5" xfId="0" applyNumberFormat="1" applyFont="1" applyBorder="1" applyAlignment="1">
      <alignment horizontal="center" vertical="top" wrapText="1"/>
    </xf>
    <xf numFmtId="0" fontId="24" fillId="0" borderId="28" xfId="0" applyFont="1" applyFill="1" applyBorder="1" applyAlignment="1">
      <alignment horizontal="center" vertical="top" wrapText="1"/>
    </xf>
    <xf numFmtId="3" fontId="19" fillId="0" borderId="5" xfId="0" applyNumberFormat="1" applyFont="1" applyFill="1" applyBorder="1" applyAlignment="1">
      <alignment horizontal="center" vertical="top" wrapText="1"/>
    </xf>
    <xf numFmtId="3" fontId="19" fillId="0" borderId="6" xfId="0" applyNumberFormat="1" applyFont="1" applyFill="1" applyBorder="1" applyAlignment="1">
      <alignment horizontal="center" vertical="top" wrapText="1"/>
    </xf>
    <xf numFmtId="3" fontId="19" fillId="0" borderId="6" xfId="0" applyNumberFormat="1" applyFont="1" applyBorder="1" applyAlignment="1">
      <alignment horizontal="center" vertical="top" wrapText="1"/>
    </xf>
    <xf numFmtId="0" fontId="24" fillId="0" borderId="29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24" fillId="0" borderId="30" xfId="0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top" wrapText="1"/>
    </xf>
    <xf numFmtId="0" fontId="28" fillId="14" borderId="5" xfId="0" applyFont="1" applyFill="1" applyBorder="1" applyAlignment="1">
      <alignment horizontal="center" wrapText="1"/>
    </xf>
    <xf numFmtId="0" fontId="28" fillId="14" borderId="45" xfId="0" applyFont="1" applyFill="1" applyBorder="1" applyAlignment="1">
      <alignment horizontal="center" wrapText="1"/>
    </xf>
    <xf numFmtId="4" fontId="24" fillId="0" borderId="30" xfId="0" applyNumberFormat="1" applyFont="1" applyFill="1" applyBorder="1" applyAlignment="1">
      <alignment horizontal="center" vertical="top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6" xfId="0" applyFont="1" applyFill="1" applyBorder="1" applyAlignment="1">
      <alignment horizontal="center" vertical="top" wrapText="1"/>
    </xf>
    <xf numFmtId="0" fontId="19" fillId="0" borderId="31" xfId="0" applyFont="1" applyFill="1" applyBorder="1" applyAlignment="1">
      <alignment horizontal="justify" vertical="top" wrapText="1"/>
    </xf>
    <xf numFmtId="0" fontId="19" fillId="0" borderId="32" xfId="0" applyFont="1" applyFill="1" applyBorder="1" applyAlignment="1">
      <alignment horizontal="justify" vertical="top" wrapText="1"/>
    </xf>
    <xf numFmtId="0" fontId="19" fillId="0" borderId="33" xfId="0" applyFont="1" applyFill="1" applyBorder="1" applyAlignment="1">
      <alignment horizontal="justify" vertical="top" wrapText="1"/>
    </xf>
    <xf numFmtId="0" fontId="19" fillId="0" borderId="34" xfId="0" applyFont="1" applyFill="1" applyBorder="1" applyAlignment="1">
      <alignment horizontal="justify" vertical="top" wrapText="1"/>
    </xf>
    <xf numFmtId="0" fontId="19" fillId="0" borderId="35" xfId="0" applyFont="1" applyFill="1" applyBorder="1" applyAlignment="1">
      <alignment horizontal="justify" vertical="top" wrapText="1"/>
    </xf>
    <xf numFmtId="0" fontId="19" fillId="0" borderId="36" xfId="0" applyFont="1" applyFill="1" applyBorder="1" applyAlignment="1">
      <alignment horizontal="justify" vertical="top" wrapText="1"/>
    </xf>
    <xf numFmtId="4" fontId="23" fillId="0" borderId="0" xfId="0" applyNumberFormat="1" applyFont="1" applyFill="1"/>
    <xf numFmtId="0" fontId="6" fillId="15" borderId="0" xfId="0" applyFont="1" applyFill="1"/>
    <xf numFmtId="0" fontId="0" fillId="15" borderId="0" xfId="0" applyFill="1"/>
    <xf numFmtId="10" fontId="6" fillId="0" borderId="0" xfId="0" applyNumberFormat="1" applyFont="1" applyFill="1"/>
    <xf numFmtId="0" fontId="25" fillId="15" borderId="39" xfId="0" applyFont="1" applyFill="1" applyBorder="1" applyAlignment="1">
      <alignment vertical="center" wrapText="1"/>
    </xf>
    <xf numFmtId="0" fontId="25" fillId="15" borderId="41" xfId="0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15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43" fontId="0" fillId="15" borderId="0" xfId="1" applyFont="1" applyFill="1"/>
    <xf numFmtId="43" fontId="0" fillId="15" borderId="0" xfId="0" applyNumberFormat="1" applyFill="1"/>
    <xf numFmtId="43" fontId="0" fillId="13" borderId="1" xfId="1" applyFont="1" applyFill="1" applyBorder="1"/>
    <xf numFmtId="43" fontId="25" fillId="15" borderId="1" xfId="1" applyFont="1" applyFill="1" applyBorder="1" applyAlignment="1">
      <alignment vertical="center" wrapText="1"/>
    </xf>
    <xf numFmtId="43" fontId="25" fillId="15" borderId="1" xfId="0" applyNumberFormat="1" applyFont="1" applyFill="1" applyBorder="1" applyAlignment="1">
      <alignment vertical="center" wrapText="1"/>
    </xf>
    <xf numFmtId="10" fontId="9" fillId="0" borderId="1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25" fillId="0" borderId="4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16" borderId="1" xfId="0" applyFont="1" applyFill="1" applyBorder="1" applyAlignment="1">
      <alignment vertical="center" wrapText="1"/>
    </xf>
    <xf numFmtId="0" fontId="25" fillId="16" borderId="39" xfId="0" applyFont="1" applyFill="1" applyBorder="1" applyAlignment="1">
      <alignment vertical="center" wrapText="1"/>
    </xf>
    <xf numFmtId="0" fontId="25" fillId="16" borderId="41" xfId="0" applyFont="1" applyFill="1" applyBorder="1" applyAlignment="1">
      <alignment vertical="center" wrapText="1"/>
    </xf>
    <xf numFmtId="43" fontId="25" fillId="16" borderId="1" xfId="1" applyFont="1" applyFill="1" applyBorder="1" applyAlignment="1">
      <alignment vertical="center" wrapText="1"/>
    </xf>
    <xf numFmtId="43" fontId="25" fillId="16" borderId="1" xfId="0" applyNumberFormat="1" applyFont="1" applyFill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11" borderId="0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16" borderId="39" xfId="0" applyFont="1" applyFill="1" applyBorder="1" applyAlignment="1">
      <alignment horizontal="center" vertical="center" wrapText="1"/>
    </xf>
    <xf numFmtId="0" fontId="25" fillId="10" borderId="39" xfId="0" applyFont="1" applyFill="1" applyBorder="1" applyAlignment="1">
      <alignment vertical="center" wrapText="1"/>
    </xf>
    <xf numFmtId="0" fontId="25" fillId="10" borderId="41" xfId="0" applyFont="1" applyFill="1" applyBorder="1" applyAlignment="1">
      <alignment vertical="center" wrapText="1"/>
    </xf>
    <xf numFmtId="0" fontId="25" fillId="10" borderId="1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0" fontId="25" fillId="15" borderId="14" xfId="0" applyFont="1" applyFill="1" applyBorder="1" applyAlignment="1">
      <alignment vertical="center" wrapText="1"/>
    </xf>
    <xf numFmtId="0" fontId="25" fillId="4" borderId="14" xfId="0" applyFont="1" applyFill="1" applyBorder="1" applyAlignment="1">
      <alignment vertical="center" wrapText="1"/>
    </xf>
    <xf numFmtId="0" fontId="0" fillId="15" borderId="1" xfId="0" applyFill="1" applyBorder="1"/>
    <xf numFmtId="43" fontId="0" fillId="15" borderId="1" xfId="0" applyNumberFormat="1" applyFill="1" applyBorder="1"/>
    <xf numFmtId="43" fontId="0" fillId="4" borderId="1" xfId="0" applyNumberFormat="1" applyFill="1" applyBorder="1"/>
    <xf numFmtId="43" fontId="29" fillId="15" borderId="1" xfId="1" applyFont="1" applyFill="1" applyBorder="1" applyAlignment="1">
      <alignment vertical="center" wrapText="1"/>
    </xf>
    <xf numFmtId="43" fontId="29" fillId="15" borderId="1" xfId="0" applyNumberFormat="1" applyFont="1" applyFill="1" applyBorder="1" applyAlignment="1">
      <alignment vertical="center" wrapText="1"/>
    </xf>
    <xf numFmtId="10" fontId="0" fillId="0" borderId="0" xfId="0" applyNumberFormat="1" applyFill="1" applyBorder="1"/>
    <xf numFmtId="0" fontId="25" fillId="13" borderId="41" xfId="0" applyFont="1" applyFill="1" applyBorder="1" applyAlignment="1">
      <alignment vertical="center" wrapText="1"/>
    </xf>
    <xf numFmtId="0" fontId="25" fillId="13" borderId="1" xfId="0" applyFont="1" applyFill="1" applyBorder="1" applyAlignment="1">
      <alignment vertical="center" wrapText="1"/>
    </xf>
    <xf numFmtId="0" fontId="25" fillId="13" borderId="14" xfId="0" applyFont="1" applyFill="1" applyBorder="1" applyAlignment="1">
      <alignment vertical="center" wrapText="1"/>
    </xf>
    <xf numFmtId="0" fontId="0" fillId="4" borderId="14" xfId="0" applyFill="1" applyBorder="1"/>
    <xf numFmtId="43" fontId="0" fillId="0" borderId="1" xfId="0" applyNumberFormat="1" applyBorder="1"/>
    <xf numFmtId="1" fontId="0" fillId="0" borderId="49" xfId="0" applyNumberFormat="1" applyBorder="1"/>
    <xf numFmtId="0" fontId="31" fillId="0" borderId="0" xfId="0" applyFont="1" applyAlignment="1">
      <alignment vertical="center"/>
    </xf>
    <xf numFmtId="43" fontId="25" fillId="13" borderId="1" xfId="1" applyFont="1" applyFill="1" applyBorder="1" applyAlignment="1">
      <alignment vertical="center" wrapText="1"/>
    </xf>
    <xf numFmtId="43" fontId="25" fillId="15" borderId="14" xfId="1" applyFont="1" applyFill="1" applyBorder="1" applyAlignment="1">
      <alignment vertical="center" wrapText="1"/>
    </xf>
    <xf numFmtId="43" fontId="25" fillId="4" borderId="14" xfId="1" applyFont="1" applyFill="1" applyBorder="1" applyAlignment="1">
      <alignment vertical="center" wrapText="1"/>
    </xf>
    <xf numFmtId="43" fontId="25" fillId="15" borderId="39" xfId="1" applyFont="1" applyFill="1" applyBorder="1" applyAlignment="1">
      <alignment vertical="center" wrapText="1"/>
    </xf>
    <xf numFmtId="43" fontId="25" fillId="13" borderId="41" xfId="1" applyFont="1" applyFill="1" applyBorder="1" applyAlignment="1">
      <alignment vertical="center" wrapText="1"/>
    </xf>
    <xf numFmtId="43" fontId="30" fillId="0" borderId="0" xfId="1" applyFont="1" applyAlignment="1">
      <alignment vertical="center"/>
    </xf>
    <xf numFmtId="43" fontId="25" fillId="16" borderId="14" xfId="0" applyNumberFormat="1" applyFont="1" applyFill="1" applyBorder="1" applyAlignment="1">
      <alignment vertical="center" wrapText="1"/>
    </xf>
    <xf numFmtId="0" fontId="25" fillId="0" borderId="14" xfId="0" applyFont="1" applyBorder="1" applyAlignment="1">
      <alignment horizontal="center" vertical="center" wrapText="1"/>
    </xf>
    <xf numFmtId="43" fontId="25" fillId="13" borderId="41" xfId="0" applyNumberFormat="1" applyFont="1" applyFill="1" applyBorder="1" applyAlignment="1">
      <alignment vertical="center" wrapText="1"/>
    </xf>
    <xf numFmtId="4" fontId="19" fillId="17" borderId="25" xfId="0" applyNumberFormat="1" applyFont="1" applyFill="1" applyBorder="1" applyAlignment="1">
      <alignment horizontal="center" vertical="center" wrapText="1"/>
    </xf>
    <xf numFmtId="4" fontId="19" fillId="17" borderId="27" xfId="0" applyNumberFormat="1" applyFont="1" applyFill="1" applyBorder="1" applyAlignment="1">
      <alignment horizontal="center" vertical="center" wrapText="1"/>
    </xf>
    <xf numFmtId="4" fontId="25" fillId="11" borderId="0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43" fontId="25" fillId="0" borderId="1" xfId="0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right" wrapText="1"/>
    </xf>
    <xf numFmtId="4" fontId="6" fillId="17" borderId="25" xfId="0" applyNumberFormat="1" applyFont="1" applyFill="1" applyBorder="1" applyAlignment="1">
      <alignment horizontal="center" vertical="center" wrapText="1"/>
    </xf>
    <xf numFmtId="4" fontId="6" fillId="17" borderId="30" xfId="0" applyNumberFormat="1" applyFont="1" applyFill="1" applyBorder="1" applyAlignment="1">
      <alignment horizontal="center" vertical="center" wrapText="1"/>
    </xf>
    <xf numFmtId="168" fontId="0" fillId="0" borderId="0" xfId="0" applyNumberFormat="1" applyFill="1"/>
    <xf numFmtId="0" fontId="19" fillId="0" borderId="0" xfId="0" applyFont="1"/>
    <xf numFmtId="1" fontId="0" fillId="0" borderId="0" xfId="0" applyNumberFormat="1"/>
    <xf numFmtId="43" fontId="0" fillId="0" borderId="0" xfId="0" applyNumberFormat="1" applyFill="1" applyBorder="1"/>
    <xf numFmtId="0" fontId="25" fillId="0" borderId="0" xfId="0" applyFont="1" applyFill="1" applyBorder="1"/>
    <xf numFmtId="3" fontId="25" fillId="0" borderId="0" xfId="0" applyNumberFormat="1" applyFont="1" applyFill="1" applyBorder="1"/>
    <xf numFmtId="0" fontId="12" fillId="0" borderId="0" xfId="0" applyFont="1" applyFill="1" applyBorder="1"/>
    <xf numFmtId="43" fontId="0" fillId="0" borderId="0" xfId="1" applyFont="1" applyFill="1" applyBorder="1"/>
    <xf numFmtId="43" fontId="7" fillId="0" borderId="0" xfId="1" applyFont="1" applyFill="1" applyBorder="1"/>
    <xf numFmtId="43" fontId="7" fillId="0" borderId="0" xfId="0" applyNumberFormat="1" applyFont="1" applyFill="1" applyBorder="1"/>
    <xf numFmtId="164" fontId="0" fillId="0" borderId="0" xfId="0" applyNumberFormat="1" applyFill="1" applyBorder="1"/>
    <xf numFmtId="9" fontId="0" fillId="0" borderId="0" xfId="0" applyNumberFormat="1" applyFill="1" applyBorder="1"/>
    <xf numFmtId="43" fontId="19" fillId="0" borderId="0" xfId="1" applyFont="1" applyFill="1" applyBorder="1"/>
    <xf numFmtId="43" fontId="12" fillId="0" borderId="0" xfId="1" applyFont="1" applyFill="1" applyBorder="1" applyAlignment="1">
      <alignment horizontal="center"/>
    </xf>
    <xf numFmtId="43" fontId="6" fillId="0" borderId="0" xfId="1" applyFont="1" applyFill="1" applyBorder="1"/>
    <xf numFmtId="0" fontId="25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top" wrapText="1"/>
    </xf>
    <xf numFmtId="4" fontId="24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justify" vertical="top" wrapText="1"/>
    </xf>
    <xf numFmtId="4" fontId="23" fillId="0" borderId="0" xfId="0" applyNumberFormat="1" applyFont="1" applyFill="1" applyBorder="1"/>
    <xf numFmtId="9" fontId="0" fillId="0" borderId="0" xfId="0" applyNumberFormat="1" applyFill="1"/>
    <xf numFmtId="9" fontId="0" fillId="0" borderId="0" xfId="2" applyFont="1"/>
    <xf numFmtId="0" fontId="7" fillId="0" borderId="0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25" fillId="0" borderId="0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/>
    </xf>
    <xf numFmtId="0" fontId="25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9" fillId="20" borderId="2" xfId="0" applyFont="1" applyFill="1" applyBorder="1" applyAlignment="1">
      <alignment horizontal="center"/>
    </xf>
    <xf numFmtId="0" fontId="0" fillId="0" borderId="58" xfId="0" applyFill="1" applyBorder="1"/>
    <xf numFmtId="0" fontId="9" fillId="0" borderId="58" xfId="0" applyFont="1" applyFill="1" applyBorder="1" applyAlignment="1">
      <alignment horizontal="center" wrapText="1"/>
    </xf>
    <xf numFmtId="0" fontId="6" fillId="16" borderId="0" xfId="0" applyFont="1" applyFill="1" applyAlignment="1">
      <alignment horizontal="center"/>
    </xf>
    <xf numFmtId="43" fontId="9" fillId="0" borderId="58" xfId="0" applyNumberFormat="1" applyFont="1" applyFill="1" applyBorder="1" applyAlignment="1">
      <alignment horizontal="center" wrapText="1"/>
    </xf>
    <xf numFmtId="168" fontId="9" fillId="0" borderId="58" xfId="0" applyNumberFormat="1" applyFont="1" applyFill="1" applyBorder="1" applyAlignment="1">
      <alignment horizontal="center" wrapText="1"/>
    </xf>
    <xf numFmtId="168" fontId="0" fillId="0" borderId="1" xfId="0" applyNumberFormat="1" applyFill="1" applyBorder="1"/>
    <xf numFmtId="168" fontId="0" fillId="0" borderId="58" xfId="0" applyNumberFormat="1" applyFill="1" applyBorder="1"/>
    <xf numFmtId="43" fontId="0" fillId="0" borderId="58" xfId="0" applyNumberFormat="1" applyFill="1" applyBorder="1"/>
    <xf numFmtId="0" fontId="6" fillId="0" borderId="58" xfId="0" applyFont="1" applyBorder="1" applyAlignment="1">
      <alignment horizontal="right"/>
    </xf>
    <xf numFmtId="0" fontId="6" fillId="0" borderId="58" xfId="0" applyFont="1" applyBorder="1"/>
    <xf numFmtId="0" fontId="6" fillId="20" borderId="58" xfId="0" applyFont="1" applyFill="1" applyBorder="1"/>
    <xf numFmtId="0" fontId="0" fillId="0" borderId="58" xfId="0" applyBorder="1"/>
    <xf numFmtId="1" fontId="0" fillId="0" borderId="58" xfId="0" applyNumberFormat="1" applyFill="1" applyBorder="1"/>
    <xf numFmtId="0" fontId="6" fillId="0" borderId="58" xfId="0" applyFont="1" applyFill="1" applyBorder="1"/>
    <xf numFmtId="1" fontId="0" fillId="16" borderId="58" xfId="0" applyNumberFormat="1" applyFill="1" applyBorder="1"/>
    <xf numFmtId="0" fontId="7" fillId="0" borderId="58" xfId="0" applyFont="1" applyBorder="1"/>
    <xf numFmtId="0" fontId="0" fillId="20" borderId="58" xfId="0" applyFill="1" applyBorder="1"/>
    <xf numFmtId="3" fontId="0" fillId="0" borderId="58" xfId="0" applyNumberFormat="1" applyFill="1" applyBorder="1"/>
    <xf numFmtId="1" fontId="0" fillId="0" borderId="0" xfId="0" applyNumberFormat="1" applyFill="1" applyBorder="1"/>
    <xf numFmtId="0" fontId="10" fillId="0" borderId="58" xfId="0" applyFont="1" applyFill="1" applyBorder="1" applyAlignment="1">
      <alignment horizontal="center" wrapText="1"/>
    </xf>
    <xf numFmtId="0" fontId="10" fillId="0" borderId="59" xfId="0" applyFont="1" applyFill="1" applyBorder="1" applyAlignment="1">
      <alignment horizontal="center" vertical="center" wrapText="1"/>
    </xf>
    <xf numFmtId="0" fontId="10" fillId="20" borderId="59" xfId="0" applyFont="1" applyFill="1" applyBorder="1" applyAlignment="1">
      <alignment horizontal="center" vertical="center" wrapText="1"/>
    </xf>
    <xf numFmtId="0" fontId="10" fillId="20" borderId="1" xfId="0" applyFont="1" applyFill="1" applyBorder="1" applyAlignment="1">
      <alignment horizontal="center" vertical="center" wrapText="1"/>
    </xf>
    <xf numFmtId="9" fontId="10" fillId="16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16" borderId="17" xfId="0" applyNumberFormat="1" applyFont="1" applyFill="1" applyBorder="1" applyAlignment="1">
      <alignment horizontal="center" vertical="center" wrapText="1"/>
    </xf>
    <xf numFmtId="0" fontId="10" fillId="16" borderId="17" xfId="0" applyFont="1" applyFill="1" applyBorder="1" applyAlignment="1">
      <alignment horizontal="center" vertical="center" wrapText="1"/>
    </xf>
    <xf numFmtId="0" fontId="10" fillId="16" borderId="60" xfId="0" applyFont="1" applyFill="1" applyBorder="1" applyAlignment="1">
      <alignment horizontal="center" vertical="center" wrapText="1"/>
    </xf>
    <xf numFmtId="0" fontId="10" fillId="16" borderId="58" xfId="0" applyFont="1" applyFill="1" applyBorder="1" applyAlignment="1">
      <alignment horizontal="center" vertical="center" wrapText="1"/>
    </xf>
    <xf numFmtId="0" fontId="0" fillId="20" borderId="58" xfId="0" applyFill="1" applyBorder="1" applyAlignment="1">
      <alignment horizontal="center"/>
    </xf>
    <xf numFmtId="0" fontId="6" fillId="20" borderId="58" xfId="0" applyFont="1" applyFill="1" applyBorder="1" applyAlignment="1">
      <alignment horizontal="center"/>
    </xf>
    <xf numFmtId="0" fontId="7" fillId="0" borderId="0" xfId="0" applyFont="1" applyFill="1" applyBorder="1"/>
    <xf numFmtId="0" fontId="0" fillId="0" borderId="0" xfId="0" applyBorder="1"/>
    <xf numFmtId="0" fontId="7" fillId="0" borderId="0" xfId="0" applyFont="1" applyFill="1" applyBorder="1" applyAlignment="1">
      <alignment horizontal="center"/>
    </xf>
    <xf numFmtId="166" fontId="0" fillId="11" borderId="58" xfId="0" applyNumberFormat="1" applyFill="1" applyBorder="1"/>
    <xf numFmtId="3" fontId="0" fillId="11" borderId="58" xfId="0" applyNumberFormat="1" applyFill="1" applyBorder="1"/>
    <xf numFmtId="43" fontId="0" fillId="0" borderId="0" xfId="1" applyFont="1"/>
    <xf numFmtId="0" fontId="0" fillId="23" borderId="0" xfId="0" applyFill="1"/>
    <xf numFmtId="0" fontId="0" fillId="19" borderId="52" xfId="0" applyFill="1" applyBorder="1"/>
    <xf numFmtId="0" fontId="0" fillId="19" borderId="53" xfId="0" applyFill="1" applyBorder="1"/>
    <xf numFmtId="0" fontId="0" fillId="0" borderId="54" xfId="0" applyBorder="1"/>
    <xf numFmtId="43" fontId="0" fillId="11" borderId="61" xfId="1" applyFont="1" applyFill="1" applyBorder="1" applyAlignment="1">
      <alignment horizontal="left" indent="1"/>
    </xf>
    <xf numFmtId="43" fontId="0" fillId="11" borderId="58" xfId="1" applyFont="1" applyFill="1" applyBorder="1" applyAlignment="1">
      <alignment horizontal="left" indent="1"/>
    </xf>
    <xf numFmtId="9" fontId="0" fillId="19" borderId="55" xfId="2" applyFont="1" applyFill="1" applyBorder="1"/>
    <xf numFmtId="43" fontId="0" fillId="24" borderId="2" xfId="1" applyFont="1" applyFill="1" applyBorder="1" applyAlignment="1">
      <alignment horizontal="left" indent="1"/>
    </xf>
    <xf numFmtId="9" fontId="0" fillId="18" borderId="0" xfId="2" applyFont="1" applyFill="1"/>
    <xf numFmtId="43" fontId="0" fillId="19" borderId="62" xfId="1" applyFont="1" applyFill="1" applyBorder="1" applyAlignment="1">
      <alignment horizontal="left" indent="1"/>
    </xf>
    <xf numFmtId="43" fontId="0" fillId="19" borderId="0" xfId="1" applyFont="1" applyFill="1" applyBorder="1" applyAlignment="1">
      <alignment horizontal="left" indent="1"/>
    </xf>
    <xf numFmtId="43" fontId="0" fillId="24" borderId="0" xfId="1" applyFont="1" applyFill="1" applyBorder="1" applyAlignment="1">
      <alignment horizontal="left" indent="1"/>
    </xf>
    <xf numFmtId="43" fontId="0" fillId="19" borderId="63" xfId="1" applyFont="1" applyFill="1" applyBorder="1" applyAlignment="1">
      <alignment horizontal="left" indent="1"/>
    </xf>
    <xf numFmtId="43" fontId="0" fillId="19" borderId="57" xfId="0" applyNumberFormat="1" applyFont="1" applyFill="1" applyBorder="1"/>
    <xf numFmtId="9" fontId="0" fillId="19" borderId="37" xfId="2" applyFont="1" applyFill="1" applyBorder="1"/>
    <xf numFmtId="43" fontId="0" fillId="0" borderId="0" xfId="0" applyNumberFormat="1" applyFont="1" applyFill="1" applyBorder="1"/>
    <xf numFmtId="0" fontId="0" fillId="18" borderId="54" xfId="0" applyFill="1" applyBorder="1"/>
    <xf numFmtId="0" fontId="0" fillId="18" borderId="0" xfId="0" applyFill="1"/>
    <xf numFmtId="170" fontId="0" fillId="0" borderId="0" xfId="0" applyNumberFormat="1"/>
    <xf numFmtId="43" fontId="0" fillId="25" borderId="58" xfId="1" applyFont="1" applyFill="1" applyBorder="1" applyAlignment="1">
      <alignment horizontal="left" indent="1"/>
    </xf>
    <xf numFmtId="10" fontId="0" fillId="11" borderId="55" xfId="2" applyNumberFormat="1" applyFont="1" applyFill="1" applyBorder="1"/>
    <xf numFmtId="43" fontId="0" fillId="26" borderId="2" xfId="1" applyFont="1" applyFill="1" applyBorder="1" applyAlignment="1">
      <alignment horizontal="left" indent="1"/>
    </xf>
    <xf numFmtId="43" fontId="0" fillId="19" borderId="56" xfId="0" applyNumberFormat="1" applyFill="1" applyBorder="1"/>
    <xf numFmtId="43" fontId="0" fillId="27" borderId="57" xfId="0" applyNumberFormat="1" applyFont="1" applyFill="1" applyBorder="1"/>
    <xf numFmtId="43" fontId="0" fillId="18" borderId="0" xfId="0" applyNumberFormat="1" applyFont="1" applyFill="1" applyBorder="1"/>
    <xf numFmtId="0" fontId="0" fillId="22" borderId="64" xfId="0" applyFill="1" applyBorder="1"/>
    <xf numFmtId="43" fontId="0" fillId="22" borderId="18" xfId="1" applyFont="1" applyFill="1" applyBorder="1"/>
    <xf numFmtId="168" fontId="0" fillId="22" borderId="65" xfId="1" applyNumberFormat="1" applyFont="1" applyFill="1" applyBorder="1"/>
    <xf numFmtId="0" fontId="0" fillId="22" borderId="61" xfId="0" applyFill="1" applyBorder="1"/>
    <xf numFmtId="43" fontId="0" fillId="22" borderId="58" xfId="1" applyFont="1" applyFill="1" applyBorder="1"/>
    <xf numFmtId="168" fontId="0" fillId="22" borderId="66" xfId="0" applyNumberFormat="1" applyFill="1" applyBorder="1"/>
    <xf numFmtId="0" fontId="0" fillId="22" borderId="63" xfId="0" applyFill="1" applyBorder="1"/>
    <xf numFmtId="0" fontId="0" fillId="22" borderId="67" xfId="0" applyFill="1" applyBorder="1"/>
    <xf numFmtId="4" fontId="24" fillId="21" borderId="58" xfId="0" applyNumberFormat="1" applyFont="1" applyFill="1" applyBorder="1"/>
    <xf numFmtId="0" fontId="0" fillId="21" borderId="0" xfId="0" applyFill="1"/>
    <xf numFmtId="43" fontId="0" fillId="21" borderId="58" xfId="0" applyNumberFormat="1" applyFill="1" applyBorder="1"/>
    <xf numFmtId="166" fontId="0" fillId="16" borderId="58" xfId="0" applyNumberFormat="1" applyFill="1" applyBorder="1"/>
    <xf numFmtId="166" fontId="0" fillId="20" borderId="58" xfId="0" applyNumberFormat="1" applyFill="1" applyBorder="1"/>
    <xf numFmtId="3" fontId="0" fillId="20" borderId="58" xfId="0" applyNumberFormat="1" applyFill="1" applyBorder="1"/>
    <xf numFmtId="0" fontId="6" fillId="16" borderId="58" xfId="0" applyFont="1" applyFill="1" applyBorder="1"/>
    <xf numFmtId="168" fontId="0" fillId="0" borderId="58" xfId="1" applyNumberFormat="1" applyFont="1" applyBorder="1"/>
    <xf numFmtId="166" fontId="0" fillId="0" borderId="58" xfId="0" applyNumberFormat="1" applyFill="1" applyBorder="1"/>
    <xf numFmtId="0" fontId="6" fillId="0" borderId="17" xfId="0" applyFont="1" applyFill="1" applyBorder="1"/>
    <xf numFmtId="0" fontId="0" fillId="20" borderId="17" xfId="0" applyFill="1" applyBorder="1"/>
    <xf numFmtId="43" fontId="0" fillId="0" borderId="58" xfId="1" applyFont="1" applyFill="1" applyBorder="1"/>
    <xf numFmtId="0" fontId="25" fillId="0" borderId="0" xfId="0" applyFont="1" applyFill="1" applyBorder="1" applyAlignment="1">
      <alignment vertical="top" wrapText="1"/>
    </xf>
    <xf numFmtId="0" fontId="32" fillId="0" borderId="0" xfId="0" applyFont="1" applyFill="1" applyBorder="1"/>
    <xf numFmtId="0" fontId="19" fillId="0" borderId="0" xfId="0" applyFont="1" applyFill="1" applyBorder="1"/>
    <xf numFmtId="0" fontId="32" fillId="0" borderId="0" xfId="0" applyFont="1" applyFill="1" applyBorder="1" applyAlignment="1">
      <alignment horizontal="center" vertical="center" wrapText="1"/>
    </xf>
    <xf numFmtId="3" fontId="0" fillId="16" borderId="58" xfId="0" applyNumberFormat="1" applyFill="1" applyBorder="1"/>
    <xf numFmtId="164" fontId="0" fillId="0" borderId="58" xfId="0" applyNumberFormat="1" applyFill="1" applyBorder="1"/>
    <xf numFmtId="169" fontId="0" fillId="0" borderId="58" xfId="0" applyNumberFormat="1" applyFill="1" applyBorder="1"/>
    <xf numFmtId="9" fontId="0" fillId="0" borderId="0" xfId="2" applyFont="1" applyFill="1" applyBorder="1"/>
    <xf numFmtId="0" fontId="7" fillId="0" borderId="0" xfId="0" applyFont="1" applyFill="1" applyBorder="1" applyAlignment="1">
      <alignment horizontal="right"/>
    </xf>
    <xf numFmtId="0" fontId="38" fillId="0" borderId="0" xfId="0" applyFont="1" applyFill="1" applyBorder="1" applyAlignment="1">
      <alignment horizontal="center" wrapText="1"/>
    </xf>
    <xf numFmtId="1" fontId="0" fillId="0" borderId="0" xfId="0" applyNumberFormat="1" applyFill="1" applyBorder="1" applyAlignment="1">
      <alignment horizontal="center"/>
    </xf>
    <xf numFmtId="0" fontId="36" fillId="0" borderId="0" xfId="0" applyFont="1" applyFill="1" applyBorder="1"/>
    <xf numFmtId="43" fontId="36" fillId="0" borderId="0" xfId="1" applyFont="1" applyFill="1" applyBorder="1"/>
    <xf numFmtId="0" fontId="24" fillId="0" borderId="0" xfId="0" applyFont="1" applyFill="1" applyBorder="1" applyAlignment="1">
      <alignment horizontal="justify" vertical="top" wrapText="1"/>
    </xf>
    <xf numFmtId="0" fontId="33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4" fontId="32" fillId="0" borderId="0" xfId="0" applyNumberFormat="1" applyFont="1" applyFill="1" applyBorder="1"/>
    <xf numFmtId="0" fontId="33" fillId="0" borderId="0" xfId="0" applyFont="1" applyFill="1" applyBorder="1" applyAlignment="1">
      <alignment horizontal="justify" vertical="top" wrapText="1"/>
    </xf>
    <xf numFmtId="168" fontId="0" fillId="0" borderId="58" xfId="1" applyNumberFormat="1" applyFont="1" applyFill="1" applyBorder="1"/>
    <xf numFmtId="168" fontId="6" fillId="0" borderId="58" xfId="0" applyNumberFormat="1" applyFont="1" applyFill="1" applyBorder="1"/>
    <xf numFmtId="1" fontId="6" fillId="0" borderId="58" xfId="0" applyNumberFormat="1" applyFont="1" applyFill="1" applyBorder="1"/>
    <xf numFmtId="0" fontId="7" fillId="0" borderId="23" xfId="0" applyFont="1" applyFill="1" applyBorder="1"/>
    <xf numFmtId="0" fontId="36" fillId="0" borderId="58" xfId="0" applyFont="1" applyFill="1" applyBorder="1"/>
    <xf numFmtId="0" fontId="30" fillId="0" borderId="0" xfId="0" applyFont="1" applyFill="1" applyBorder="1" applyAlignment="1">
      <alignment horizontal="right" vertical="center" wrapText="1"/>
    </xf>
    <xf numFmtId="9" fontId="30" fillId="0" borderId="0" xfId="2" applyFont="1" applyFill="1" applyBorder="1" applyAlignment="1">
      <alignment horizontal="right" vertical="center" wrapText="1"/>
    </xf>
    <xf numFmtId="166" fontId="30" fillId="0" borderId="0" xfId="2" applyNumberFormat="1" applyFont="1" applyFill="1" applyBorder="1" applyAlignment="1">
      <alignment horizontal="right" vertical="center" wrapText="1"/>
    </xf>
    <xf numFmtId="0" fontId="35" fillId="0" borderId="0" xfId="0" applyFont="1" applyFill="1" applyBorder="1"/>
    <xf numFmtId="0" fontId="30" fillId="0" borderId="0" xfId="0" applyFont="1" applyFill="1" applyBorder="1"/>
    <xf numFmtId="43" fontId="6" fillId="0" borderId="58" xfId="1" applyFont="1" applyFill="1" applyBorder="1"/>
    <xf numFmtId="0" fontId="39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vertical="center" wrapText="1"/>
    </xf>
    <xf numFmtId="9" fontId="39" fillId="0" borderId="0" xfId="0" applyNumberFormat="1" applyFont="1" applyFill="1" applyBorder="1" applyAlignment="1">
      <alignment horizontal="center" vertical="center" wrapText="1"/>
    </xf>
    <xf numFmtId="0" fontId="0" fillId="0" borderId="58" xfId="0" applyFont="1" applyFill="1" applyBorder="1"/>
    <xf numFmtId="168" fontId="0" fillId="0" borderId="0" xfId="0" applyNumberFormat="1" applyFill="1" applyBorder="1"/>
    <xf numFmtId="0" fontId="10" fillId="20" borderId="0" xfId="0" applyFont="1" applyFill="1" applyBorder="1" applyAlignment="1">
      <alignment horizontal="center" vertical="center" wrapText="1"/>
    </xf>
    <xf numFmtId="9" fontId="0" fillId="0" borderId="58" xfId="0" applyNumberFormat="1" applyFill="1" applyBorder="1"/>
    <xf numFmtId="0" fontId="9" fillId="0" borderId="58" xfId="0" applyNumberFormat="1" applyFont="1" applyFill="1" applyBorder="1" applyAlignment="1">
      <alignment horizontal="center" wrapText="1"/>
    </xf>
    <xf numFmtId="0" fontId="28" fillId="0" borderId="37" xfId="0" applyFont="1" applyBorder="1" applyAlignment="1">
      <alignment horizontal="center" vertical="center" wrapText="1"/>
    </xf>
    <xf numFmtId="0" fontId="28" fillId="0" borderId="75" xfId="0" applyFont="1" applyBorder="1" applyAlignment="1">
      <alignment horizontal="center" vertical="center" wrapText="1"/>
    </xf>
    <xf numFmtId="0" fontId="7" fillId="16" borderId="58" xfId="0" applyFont="1" applyFill="1" applyBorder="1"/>
    <xf numFmtId="168" fontId="0" fillId="0" borderId="0" xfId="1" applyNumberFormat="1" applyFont="1" applyFill="1" applyBorder="1"/>
    <xf numFmtId="0" fontId="28" fillId="0" borderId="76" xfId="0" applyFont="1" applyBorder="1" applyAlignment="1">
      <alignment horizontal="justify" vertical="center" wrapText="1"/>
    </xf>
    <xf numFmtId="3" fontId="28" fillId="0" borderId="77" xfId="0" applyNumberFormat="1" applyFont="1" applyBorder="1" applyAlignment="1">
      <alignment horizontal="justify" vertical="center" wrapText="1"/>
    </xf>
    <xf numFmtId="3" fontId="28" fillId="0" borderId="78" xfId="0" applyNumberFormat="1" applyFont="1" applyBorder="1" applyAlignment="1">
      <alignment horizontal="justify" vertical="center" wrapText="1"/>
    </xf>
    <xf numFmtId="169" fontId="9" fillId="0" borderId="23" xfId="0" applyNumberFormat="1" applyFont="1" applyFill="1" applyBorder="1" applyAlignment="1">
      <alignment horizontal="center" wrapText="1"/>
    </xf>
    <xf numFmtId="3" fontId="28" fillId="0" borderId="0" xfId="0" applyNumberFormat="1" applyFont="1"/>
    <xf numFmtId="0" fontId="7" fillId="20" borderId="58" xfId="0" applyFont="1" applyFill="1" applyBorder="1"/>
    <xf numFmtId="2" fontId="0" fillId="0" borderId="0" xfId="0" applyNumberFormat="1" applyFill="1" applyBorder="1" applyAlignment="1">
      <alignment horizontal="left"/>
    </xf>
    <xf numFmtId="43" fontId="0" fillId="22" borderId="58" xfId="0" applyNumberFormat="1" applyFill="1" applyBorder="1"/>
    <xf numFmtId="1" fontId="6" fillId="0" borderId="0" xfId="0" applyNumberFormat="1" applyFont="1" applyFill="1" applyBorder="1"/>
    <xf numFmtId="0" fontId="0" fillId="22" borderId="58" xfId="0" applyFill="1" applyBorder="1"/>
    <xf numFmtId="171" fontId="0" fillId="0" borderId="0" xfId="0" applyNumberFormat="1" applyFill="1" applyBorder="1"/>
    <xf numFmtId="0" fontId="0" fillId="11" borderId="58" xfId="0" applyFill="1" applyBorder="1"/>
    <xf numFmtId="0" fontId="41" fillId="0" borderId="0" xfId="0" applyFont="1"/>
    <xf numFmtId="0" fontId="33" fillId="0" borderId="69" xfId="0" applyFont="1" applyBorder="1" applyAlignment="1">
      <alignment horizontal="justify" vertical="center" wrapText="1"/>
    </xf>
    <xf numFmtId="0" fontId="33" fillId="0" borderId="70" xfId="0" applyFont="1" applyBorder="1" applyAlignment="1">
      <alignment horizontal="justify" vertical="center" wrapText="1"/>
    </xf>
    <xf numFmtId="0" fontId="33" fillId="0" borderId="71" xfId="0" applyFont="1" applyBorder="1" applyAlignment="1">
      <alignment horizontal="justify" vertical="center" wrapText="1"/>
    </xf>
    <xf numFmtId="0" fontId="33" fillId="0" borderId="72" xfId="0" applyFont="1" applyBorder="1" applyAlignment="1">
      <alignment horizontal="justify" vertical="center" wrapText="1"/>
    </xf>
    <xf numFmtId="0" fontId="28" fillId="0" borderId="73" xfId="0" applyFont="1" applyBorder="1" applyAlignment="1">
      <alignment horizontal="center" vertical="center" wrapText="1"/>
    </xf>
    <xf numFmtId="0" fontId="33" fillId="0" borderId="74" xfId="0" applyFont="1" applyBorder="1" applyAlignment="1">
      <alignment horizontal="justify" vertical="center" wrapText="1"/>
    </xf>
    <xf numFmtId="0" fontId="28" fillId="0" borderId="79" xfId="0" applyFont="1" applyBorder="1" applyAlignment="1">
      <alignment horizontal="center" vertical="center" wrapText="1"/>
    </xf>
    <xf numFmtId="0" fontId="0" fillId="0" borderId="0" xfId="2" applyNumberFormat="1" applyFont="1" applyFill="1" applyBorder="1"/>
    <xf numFmtId="168" fontId="0" fillId="0" borderId="0" xfId="1" applyNumberFormat="1" applyFont="1" applyFill="1" applyBorder="1" applyAlignment="1">
      <alignment horizontal="left"/>
    </xf>
    <xf numFmtId="43" fontId="0" fillId="11" borderId="58" xfId="0" applyNumberFormat="1" applyFill="1" applyBorder="1"/>
    <xf numFmtId="0" fontId="33" fillId="0" borderId="80" xfId="0" applyFont="1" applyBorder="1" applyAlignment="1">
      <alignment horizontal="center" vertical="center" wrapText="1"/>
    </xf>
    <xf numFmtId="0" fontId="28" fillId="0" borderId="80" xfId="0" applyFont="1" applyBorder="1" applyAlignment="1">
      <alignment horizontal="center" vertical="center" wrapText="1"/>
    </xf>
    <xf numFmtId="10" fontId="43" fillId="0" borderId="80" xfId="0" applyNumberFormat="1" applyFont="1" applyBorder="1" applyAlignment="1">
      <alignment horizontal="center" vertical="center" wrapText="1"/>
    </xf>
    <xf numFmtId="10" fontId="44" fillId="0" borderId="80" xfId="0" applyNumberFormat="1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10" fontId="43" fillId="0" borderId="0" xfId="0" applyNumberFormat="1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10" fontId="44" fillId="0" borderId="0" xfId="0" applyNumberFormat="1" applyFont="1" applyBorder="1" applyAlignment="1">
      <alignment horizontal="center" vertical="center" wrapText="1"/>
    </xf>
    <xf numFmtId="43" fontId="43" fillId="0" borderId="80" xfId="0" applyNumberFormat="1" applyFont="1" applyBorder="1" applyAlignment="1">
      <alignment horizontal="center" vertical="center" wrapText="1"/>
    </xf>
    <xf numFmtId="43" fontId="44" fillId="0" borderId="80" xfId="0" applyNumberFormat="1" applyFont="1" applyBorder="1" applyAlignment="1">
      <alignment horizontal="center" vertical="center" wrapText="1"/>
    </xf>
    <xf numFmtId="43" fontId="0" fillId="0" borderId="0" xfId="1" applyNumberFormat="1" applyFont="1"/>
    <xf numFmtId="0" fontId="6" fillId="3" borderId="58" xfId="0" applyFont="1" applyFill="1" applyBorder="1" applyAlignment="1">
      <alignment horizontal="center"/>
    </xf>
    <xf numFmtId="0" fontId="7" fillId="5" borderId="0" xfId="0" applyFont="1" applyFill="1"/>
    <xf numFmtId="0" fontId="45" fillId="5" borderId="0" xfId="0" applyFont="1" applyFill="1"/>
    <xf numFmtId="172" fontId="7" fillId="5" borderId="0" xfId="0" applyNumberFormat="1" applyFont="1" applyFill="1"/>
    <xf numFmtId="0" fontId="6" fillId="5" borderId="0" xfId="0" applyFont="1" applyFill="1"/>
    <xf numFmtId="0" fontId="0" fillId="5" borderId="0" xfId="0" applyFill="1"/>
    <xf numFmtId="169" fontId="0" fillId="13" borderId="23" xfId="0" applyNumberFormat="1" applyFill="1" applyBorder="1"/>
    <xf numFmtId="168" fontId="6" fillId="11" borderId="58" xfId="7" applyNumberFormat="1" applyFont="1" applyFill="1" applyBorder="1"/>
    <xf numFmtId="0" fontId="47" fillId="0" borderId="58" xfId="0" applyFont="1" applyFill="1" applyBorder="1"/>
    <xf numFmtId="173" fontId="0" fillId="0" borderId="0" xfId="0" applyNumberFormat="1" applyFill="1"/>
    <xf numFmtId="43" fontId="47" fillId="4" borderId="0" xfId="0" applyNumberFormat="1" applyFont="1" applyFill="1"/>
    <xf numFmtId="43" fontId="48" fillId="4" borderId="23" xfId="0" applyNumberFormat="1" applyFont="1" applyFill="1" applyBorder="1" applyAlignment="1">
      <alignment horizontal="center" vertical="center" wrapText="1"/>
    </xf>
    <xf numFmtId="172" fontId="47" fillId="4" borderId="0" xfId="8" applyNumberFormat="1" applyFont="1" applyFill="1"/>
    <xf numFmtId="172" fontId="47" fillId="0" borderId="0" xfId="0" applyNumberFormat="1" applyFont="1" applyFill="1"/>
    <xf numFmtId="174" fontId="0" fillId="0" borderId="0" xfId="2" applyNumberFormat="1" applyFont="1" applyFill="1"/>
    <xf numFmtId="0" fontId="49" fillId="0" borderId="0" xfId="0" applyFont="1"/>
    <xf numFmtId="168" fontId="50" fillId="22" borderId="58" xfId="1" applyNumberFormat="1" applyFont="1" applyFill="1" applyBorder="1" applyProtection="1">
      <protection locked="0"/>
    </xf>
    <xf numFmtId="0" fontId="46" fillId="0" borderId="0" xfId="0" applyFont="1"/>
    <xf numFmtId="168" fontId="8" fillId="0" borderId="0" xfId="1" applyNumberFormat="1" applyFont="1" applyFill="1" applyBorder="1"/>
    <xf numFmtId="0" fontId="25" fillId="0" borderId="0" xfId="0" applyFont="1" applyFill="1" applyBorder="1" applyAlignment="1">
      <alignment horizontal="left" vertical="center" wrapText="1"/>
    </xf>
    <xf numFmtId="0" fontId="10" fillId="0" borderId="82" xfId="0" applyFont="1" applyFill="1" applyBorder="1" applyAlignment="1">
      <alignment horizontal="center" vertical="center" wrapText="1"/>
    </xf>
    <xf numFmtId="0" fontId="0" fillId="0" borderId="82" xfId="0" applyFill="1" applyBorder="1"/>
    <xf numFmtId="9" fontId="10" fillId="0" borderId="82" xfId="0" applyNumberFormat="1" applyFont="1" applyFill="1" applyBorder="1" applyAlignment="1">
      <alignment horizontal="center" vertical="center" wrapText="1"/>
    </xf>
    <xf numFmtId="166" fontId="50" fillId="0" borderId="82" xfId="2" applyNumberFormat="1" applyFont="1" applyFill="1" applyBorder="1" applyAlignment="1" applyProtection="1">
      <alignment horizontal="center" vertical="center"/>
      <protection locked="0"/>
    </xf>
    <xf numFmtId="9" fontId="9" fillId="0" borderId="82" xfId="0" applyNumberFormat="1" applyFont="1" applyFill="1" applyBorder="1" applyAlignment="1">
      <alignment horizontal="center" wrapText="1"/>
    </xf>
    <xf numFmtId="1" fontId="0" fillId="0" borderId="82" xfId="0" applyNumberFormat="1" applyFill="1" applyBorder="1"/>
    <xf numFmtId="10" fontId="0" fillId="0" borderId="58" xfId="0" applyNumberFormat="1" applyFill="1" applyBorder="1"/>
    <xf numFmtId="169" fontId="9" fillId="0" borderId="0" xfId="0" applyNumberFormat="1" applyFont="1" applyFill="1" applyBorder="1" applyAlignment="1">
      <alignment horizontal="center" wrapText="1"/>
    </xf>
    <xf numFmtId="169" fontId="0" fillId="13" borderId="0" xfId="0" applyNumberFormat="1" applyFill="1" applyBorder="1"/>
    <xf numFmtId="168" fontId="6" fillId="4" borderId="58" xfId="7" applyNumberFormat="1" applyFont="1" applyFill="1" applyBorder="1"/>
    <xf numFmtId="9" fontId="10" fillId="16" borderId="18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19" fillId="19" borderId="80" xfId="0" applyFont="1" applyFill="1" applyBorder="1"/>
    <xf numFmtId="10" fontId="0" fillId="0" borderId="0" xfId="2" applyNumberFormat="1" applyFont="1"/>
    <xf numFmtId="166" fontId="0" fillId="0" borderId="0" xfId="2" applyNumberFormat="1" applyFont="1" applyFill="1" applyBorder="1"/>
    <xf numFmtId="175" fontId="52" fillId="30" borderId="83" xfId="9" applyNumberFormat="1" applyFont="1" applyFill="1" applyBorder="1" applyAlignment="1">
      <alignment horizontal="right" vertical="center" wrapText="1" readingOrder="1"/>
    </xf>
    <xf numFmtId="1" fontId="0" fillId="7" borderId="0" xfId="0" applyNumberFormat="1" applyFill="1"/>
    <xf numFmtId="10" fontId="4" fillId="11" borderId="58" xfId="5" applyNumberFormat="1" applyFont="1" applyFill="1" applyBorder="1" applyAlignment="1">
      <alignment horizontal="center"/>
    </xf>
    <xf numFmtId="169" fontId="0" fillId="0" borderId="0" xfId="0" applyNumberFormat="1" applyFill="1"/>
    <xf numFmtId="9" fontId="9" fillId="4" borderId="82" xfId="0" applyNumberFormat="1" applyFont="1" applyFill="1" applyBorder="1" applyAlignment="1">
      <alignment horizontal="center" wrapText="1"/>
    </xf>
    <xf numFmtId="9" fontId="9" fillId="11" borderId="82" xfId="0" applyNumberFormat="1" applyFont="1" applyFill="1" applyBorder="1" applyAlignment="1">
      <alignment horizontal="center" wrapText="1"/>
    </xf>
    <xf numFmtId="0" fontId="10" fillId="0" borderId="82" xfId="0" applyFont="1" applyFill="1" applyBorder="1" applyAlignment="1">
      <alignment horizontal="center" wrapText="1"/>
    </xf>
    <xf numFmtId="43" fontId="0" fillId="0" borderId="82" xfId="0" applyNumberFormat="1" applyFill="1" applyBorder="1" applyAlignment="1">
      <alignment horizontal="left"/>
    </xf>
    <xf numFmtId="0" fontId="6" fillId="0" borderId="82" xfId="0" applyFont="1" applyBorder="1" applyAlignment="1">
      <alignment horizontal="center" wrapText="1"/>
    </xf>
    <xf numFmtId="1" fontId="9" fillId="0" borderId="82" xfId="0" applyNumberFormat="1" applyFont="1" applyFill="1" applyBorder="1" applyAlignment="1">
      <alignment horizontal="center" wrapText="1"/>
    </xf>
    <xf numFmtId="0" fontId="9" fillId="0" borderId="82" xfId="0" applyFont="1" applyFill="1" applyBorder="1" applyAlignment="1">
      <alignment horizontal="center" wrapText="1"/>
    </xf>
    <xf numFmtId="1" fontId="9" fillId="11" borderId="82" xfId="0" applyNumberFormat="1" applyFont="1" applyFill="1" applyBorder="1" applyAlignment="1">
      <alignment horizontal="center" wrapText="1"/>
    </xf>
    <xf numFmtId="9" fontId="9" fillId="13" borderId="82" xfId="0" applyNumberFormat="1" applyFont="1" applyFill="1" applyBorder="1" applyAlignment="1">
      <alignment horizontal="center" wrapText="1"/>
    </xf>
    <xf numFmtId="0" fontId="9" fillId="11" borderId="82" xfId="0" applyFont="1" applyFill="1" applyBorder="1" applyAlignment="1">
      <alignment horizontal="center" wrapText="1"/>
    </xf>
    <xf numFmtId="10" fontId="53" fillId="0" borderId="82" xfId="0" applyNumberFormat="1" applyFont="1" applyFill="1" applyBorder="1" applyAlignment="1" applyProtection="1">
      <alignment horizontal="center" vertical="center"/>
      <protection locked="0"/>
    </xf>
    <xf numFmtId="9" fontId="9" fillId="28" borderId="82" xfId="0" applyNumberFormat="1" applyFont="1" applyFill="1" applyBorder="1" applyAlignment="1">
      <alignment horizontal="center" wrapText="1"/>
    </xf>
    <xf numFmtId="3" fontId="33" fillId="13" borderId="82" xfId="0" applyNumberFormat="1" applyFont="1" applyFill="1" applyBorder="1" applyAlignment="1">
      <alignment horizontal="center"/>
    </xf>
    <xf numFmtId="3" fontId="9" fillId="0" borderId="26" xfId="0" applyNumberFormat="1" applyFont="1" applyFill="1" applyBorder="1" applyAlignment="1">
      <alignment horizontal="center"/>
    </xf>
    <xf numFmtId="166" fontId="9" fillId="0" borderId="82" xfId="0" applyNumberFormat="1" applyFont="1" applyFill="1" applyBorder="1" applyAlignment="1">
      <alignment horizontal="center" wrapText="1"/>
    </xf>
    <xf numFmtId="0" fontId="38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center"/>
    </xf>
    <xf numFmtId="0" fontId="54" fillId="0" borderId="0" xfId="0" applyFont="1" applyAlignment="1">
      <alignment horizontal="right" vertical="center"/>
    </xf>
    <xf numFmtId="166" fontId="3" fillId="0" borderId="82" xfId="5" applyNumberFormat="1" applyFont="1" applyFill="1" applyBorder="1" applyAlignment="1">
      <alignment horizontal="center"/>
    </xf>
    <xf numFmtId="166" fontId="50" fillId="0" borderId="0" xfId="8" applyNumberFormat="1" applyFont="1" applyFill="1" applyAlignment="1" applyProtection="1">
      <alignment horizontal="center" vertical="center"/>
      <protection locked="0"/>
    </xf>
    <xf numFmtId="166" fontId="3" fillId="0" borderId="82" xfId="8" applyNumberFormat="1" applyFont="1" applyFill="1" applyBorder="1" applyAlignment="1">
      <alignment horizontal="center"/>
    </xf>
    <xf numFmtId="168" fontId="0" fillId="19" borderId="0" xfId="0" applyNumberFormat="1" applyFill="1"/>
    <xf numFmtId="168" fontId="46" fillId="3" borderId="0" xfId="0" applyNumberFormat="1" applyFont="1" applyFill="1"/>
    <xf numFmtId="168" fontId="6" fillId="3" borderId="82" xfId="7" applyNumberFormat="1" applyFont="1" applyFill="1" applyBorder="1"/>
    <xf numFmtId="0" fontId="56" fillId="0" borderId="0" xfId="0" applyFont="1" applyFill="1"/>
    <xf numFmtId="0" fontId="57" fillId="0" borderId="0" xfId="0" applyFont="1" applyFill="1"/>
    <xf numFmtId="0" fontId="58" fillId="20" borderId="2" xfId="0" applyFont="1" applyFill="1" applyBorder="1" applyAlignment="1">
      <alignment horizontal="center"/>
    </xf>
    <xf numFmtId="0" fontId="59" fillId="16" borderId="0" xfId="0" applyFont="1" applyFill="1" applyAlignment="1">
      <alignment horizontal="center"/>
    </xf>
    <xf numFmtId="0" fontId="56" fillId="5" borderId="0" xfId="0" applyFont="1" applyFill="1"/>
    <xf numFmtId="0" fontId="58" fillId="0" borderId="1" xfId="0" applyFont="1" applyFill="1" applyBorder="1" applyAlignment="1">
      <alignment horizontal="center"/>
    </xf>
    <xf numFmtId="0" fontId="56" fillId="0" borderId="58" xfId="0" applyFont="1" applyFill="1" applyBorder="1"/>
    <xf numFmtId="0" fontId="58" fillId="0" borderId="2" xfId="0" applyFont="1" applyFill="1" applyBorder="1" applyAlignment="1">
      <alignment horizontal="center"/>
    </xf>
    <xf numFmtId="3" fontId="60" fillId="20" borderId="58" xfId="0" applyNumberFormat="1" applyFont="1" applyFill="1" applyBorder="1" applyAlignment="1">
      <alignment horizontal="center"/>
    </xf>
    <xf numFmtId="0" fontId="58" fillId="0" borderId="26" xfId="0" applyFont="1" applyFill="1" applyBorder="1" applyAlignment="1">
      <alignment horizontal="center"/>
    </xf>
    <xf numFmtId="0" fontId="61" fillId="0" borderId="1" xfId="0" applyFont="1" applyFill="1" applyBorder="1" applyAlignment="1">
      <alignment horizontal="center" wrapText="1"/>
    </xf>
    <xf numFmtId="0" fontId="59" fillId="20" borderId="58" xfId="0" applyFont="1" applyFill="1" applyBorder="1" applyAlignment="1">
      <alignment horizontal="center"/>
    </xf>
    <xf numFmtId="9" fontId="56" fillId="5" borderId="58" xfId="2" applyFont="1" applyFill="1" applyBorder="1"/>
    <xf numFmtId="0" fontId="61" fillId="0" borderId="59" xfId="0" applyFont="1" applyFill="1" applyBorder="1" applyAlignment="1">
      <alignment horizontal="center" vertical="center" wrapText="1"/>
    </xf>
    <xf numFmtId="0" fontId="61" fillId="20" borderId="59" xfId="0" applyFont="1" applyFill="1" applyBorder="1" applyAlignment="1">
      <alignment horizontal="center" vertical="center" wrapText="1"/>
    </xf>
    <xf numFmtId="0" fontId="61" fillId="20" borderId="1" xfId="0" applyFont="1" applyFill="1" applyBorder="1" applyAlignment="1">
      <alignment horizontal="center" vertical="center" wrapText="1"/>
    </xf>
    <xf numFmtId="9" fontId="61" fillId="16" borderId="1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center" vertical="center" wrapText="1"/>
    </xf>
    <xf numFmtId="9" fontId="61" fillId="16" borderId="17" xfId="0" applyNumberFormat="1" applyFont="1" applyFill="1" applyBorder="1" applyAlignment="1">
      <alignment horizontal="center" vertical="center" wrapText="1"/>
    </xf>
    <xf numFmtId="0" fontId="61" fillId="16" borderId="17" xfId="0" applyFont="1" applyFill="1" applyBorder="1" applyAlignment="1">
      <alignment horizontal="center" vertical="center" wrapText="1"/>
    </xf>
    <xf numFmtId="0" fontId="61" fillId="16" borderId="60" xfId="0" applyFont="1" applyFill="1" applyBorder="1" applyAlignment="1">
      <alignment horizontal="center" vertical="center" wrapText="1"/>
    </xf>
    <xf numFmtId="0" fontId="61" fillId="16" borderId="58" xfId="0" applyFont="1" applyFill="1" applyBorder="1" applyAlignment="1">
      <alignment horizontal="center" vertical="center" wrapText="1"/>
    </xf>
    <xf numFmtId="0" fontId="58" fillId="0" borderId="58" xfId="0" applyFont="1" applyFill="1" applyBorder="1" applyAlignment="1">
      <alignment horizontal="center" wrapText="1"/>
    </xf>
    <xf numFmtId="9" fontId="58" fillId="11" borderId="58" xfId="0" applyNumberFormat="1" applyFont="1" applyFill="1" applyBorder="1" applyAlignment="1">
      <alignment horizontal="center" wrapText="1"/>
    </xf>
    <xf numFmtId="1" fontId="58" fillId="16" borderId="58" xfId="0" applyNumberFormat="1" applyFont="1" applyFill="1" applyBorder="1" applyAlignment="1">
      <alignment horizontal="center" wrapText="1"/>
    </xf>
    <xf numFmtId="43" fontId="58" fillId="11" borderId="58" xfId="0" applyNumberFormat="1" applyFont="1" applyFill="1" applyBorder="1" applyAlignment="1">
      <alignment horizontal="center" wrapText="1"/>
    </xf>
    <xf numFmtId="168" fontId="58" fillId="0" borderId="58" xfId="0" applyNumberFormat="1" applyFont="1" applyFill="1" applyBorder="1" applyAlignment="1">
      <alignment horizontal="center" wrapText="1"/>
    </xf>
    <xf numFmtId="168" fontId="56" fillId="0" borderId="1" xfId="0" applyNumberFormat="1" applyFont="1" applyFill="1" applyBorder="1"/>
    <xf numFmtId="1" fontId="56" fillId="0" borderId="58" xfId="0" applyNumberFormat="1" applyFont="1" applyFill="1" applyBorder="1"/>
    <xf numFmtId="168" fontId="56" fillId="0" borderId="58" xfId="0" applyNumberFormat="1" applyFont="1" applyFill="1" applyBorder="1"/>
    <xf numFmtId="43" fontId="56" fillId="16" borderId="58" xfId="0" applyNumberFormat="1" applyFont="1" applyFill="1" applyBorder="1" applyAlignment="1">
      <alignment horizontal="left"/>
    </xf>
    <xf numFmtId="43" fontId="56" fillId="0" borderId="58" xfId="0" applyNumberFormat="1" applyFont="1" applyFill="1" applyBorder="1" applyAlignment="1">
      <alignment horizontal="left"/>
    </xf>
    <xf numFmtId="0" fontId="61" fillId="0" borderId="58" xfId="0" applyFont="1" applyFill="1" applyBorder="1" applyAlignment="1">
      <alignment horizontal="center" wrapText="1"/>
    </xf>
    <xf numFmtId="9" fontId="58" fillId="0" borderId="58" xfId="0" applyNumberFormat="1" applyFont="1" applyFill="1" applyBorder="1" applyAlignment="1">
      <alignment horizontal="center" wrapText="1"/>
    </xf>
    <xf numFmtId="1" fontId="58" fillId="20" borderId="58" xfId="0" applyNumberFormat="1" applyFont="1" applyFill="1" applyBorder="1" applyAlignment="1">
      <alignment horizontal="center" wrapText="1"/>
    </xf>
    <xf numFmtId="0" fontId="56" fillId="20" borderId="58" xfId="0" applyFont="1" applyFill="1" applyBorder="1" applyAlignment="1">
      <alignment horizontal="center"/>
    </xf>
    <xf numFmtId="0" fontId="56" fillId="0" borderId="1" xfId="0" applyFont="1" applyFill="1" applyBorder="1"/>
    <xf numFmtId="0" fontId="59" fillId="0" borderId="58" xfId="0" applyFont="1" applyFill="1" applyBorder="1"/>
    <xf numFmtId="1" fontId="58" fillId="0" borderId="58" xfId="0" applyNumberFormat="1" applyFont="1" applyFill="1" applyBorder="1" applyAlignment="1">
      <alignment horizontal="center" vertical="center"/>
    </xf>
    <xf numFmtId="0" fontId="59" fillId="0" borderId="0" xfId="0" applyFont="1" applyFill="1"/>
    <xf numFmtId="1" fontId="56" fillId="0" borderId="0" xfId="0" applyNumberFormat="1" applyFont="1" applyFill="1" applyBorder="1"/>
    <xf numFmtId="0" fontId="56" fillId="0" borderId="0" xfId="0" applyFont="1" applyFill="1" applyBorder="1"/>
    <xf numFmtId="3" fontId="56" fillId="0" borderId="0" xfId="0" applyNumberFormat="1" applyFont="1" applyFill="1" applyBorder="1"/>
    <xf numFmtId="0" fontId="56" fillId="5" borderId="58" xfId="0" applyFont="1" applyFill="1" applyBorder="1"/>
    <xf numFmtId="1" fontId="58" fillId="0" borderId="58" xfId="0" applyNumberFormat="1" applyFont="1" applyFill="1" applyBorder="1" applyAlignment="1">
      <alignment horizontal="center" wrapText="1"/>
    </xf>
    <xf numFmtId="0" fontId="59" fillId="0" borderId="0" xfId="0" applyFont="1" applyFill="1" applyBorder="1"/>
    <xf numFmtId="168" fontId="56" fillId="0" borderId="0" xfId="0" applyNumberFormat="1" applyFont="1" applyFill="1" applyBorder="1"/>
    <xf numFmtId="43" fontId="56" fillId="0" borderId="0" xfId="0" applyNumberFormat="1" applyFont="1" applyFill="1" applyBorder="1" applyAlignment="1">
      <alignment horizontal="left"/>
    </xf>
    <xf numFmtId="1" fontId="58" fillId="0" borderId="0" xfId="0" applyNumberFormat="1" applyFont="1" applyFill="1" applyBorder="1" applyAlignment="1">
      <alignment horizontal="center" vertical="center"/>
    </xf>
    <xf numFmtId="3" fontId="62" fillId="20" borderId="58" xfId="0" applyNumberFormat="1" applyFont="1" applyFill="1" applyBorder="1" applyAlignment="1">
      <alignment horizontal="center"/>
    </xf>
    <xf numFmtId="43" fontId="58" fillId="0" borderId="58" xfId="0" applyNumberFormat="1" applyFont="1" applyFill="1" applyBorder="1" applyAlignment="1">
      <alignment horizontal="center" wrapText="1"/>
    </xf>
    <xf numFmtId="169" fontId="56" fillId="16" borderId="58" xfId="0" applyNumberFormat="1" applyFont="1" applyFill="1" applyBorder="1" applyAlignment="1">
      <alignment horizontal="left"/>
    </xf>
    <xf numFmtId="9" fontId="56" fillId="5" borderId="58" xfId="0" applyNumberFormat="1" applyFont="1" applyFill="1" applyBorder="1"/>
    <xf numFmtId="43" fontId="58" fillId="16" borderId="58" xfId="0" applyNumberFormat="1" applyFont="1" applyFill="1" applyBorder="1" applyAlignment="1">
      <alignment horizontal="center" wrapText="1"/>
    </xf>
    <xf numFmtId="0" fontId="58" fillId="11" borderId="58" xfId="0" applyFont="1" applyFill="1" applyBorder="1" applyAlignment="1">
      <alignment horizontal="center" wrapText="1"/>
    </xf>
    <xf numFmtId="0" fontId="58" fillId="0" borderId="0" xfId="0" applyFont="1" applyFill="1" applyBorder="1" applyAlignment="1">
      <alignment horizontal="center" wrapText="1"/>
    </xf>
    <xf numFmtId="9" fontId="58" fillId="0" borderId="0" xfId="0" applyNumberFormat="1" applyFont="1" applyFill="1" applyBorder="1" applyAlignment="1">
      <alignment horizontal="center" wrapText="1"/>
    </xf>
    <xf numFmtId="43" fontId="58" fillId="0" borderId="0" xfId="0" applyNumberFormat="1" applyFont="1" applyFill="1" applyBorder="1" applyAlignment="1">
      <alignment horizontal="center" wrapText="1"/>
    </xf>
    <xf numFmtId="168" fontId="58" fillId="0" borderId="0" xfId="0" applyNumberFormat="1" applyFont="1" applyFill="1" applyBorder="1" applyAlignment="1">
      <alignment horizontal="center" wrapText="1"/>
    </xf>
    <xf numFmtId="43" fontId="56" fillId="0" borderId="0" xfId="0" applyNumberFormat="1" applyFont="1" applyFill="1" applyBorder="1"/>
    <xf numFmtId="43" fontId="57" fillId="0" borderId="0" xfId="1" applyFont="1" applyFill="1" applyBorder="1" applyAlignment="1">
      <alignment horizontal="center" vertical="center"/>
    </xf>
    <xf numFmtId="0" fontId="57" fillId="0" borderId="0" xfId="0" applyFont="1" applyFill="1" applyBorder="1"/>
    <xf numFmtId="0" fontId="57" fillId="0" borderId="0" xfId="0" applyFont="1" applyFill="1" applyBorder="1" applyAlignment="1">
      <alignment horizontal="left"/>
    </xf>
    <xf numFmtId="0" fontId="58" fillId="0" borderId="0" xfId="0" applyFont="1" applyFill="1" applyBorder="1" applyAlignment="1">
      <alignment horizontal="center"/>
    </xf>
    <xf numFmtId="3" fontId="60" fillId="0" borderId="0" xfId="0" applyNumberFormat="1" applyFont="1" applyFill="1" applyBorder="1" applyAlignment="1">
      <alignment horizontal="center"/>
    </xf>
    <xf numFmtId="0" fontId="59" fillId="0" borderId="0" xfId="0" applyFont="1" applyFill="1" applyBorder="1" applyAlignment="1">
      <alignment horizontal="center"/>
    </xf>
    <xf numFmtId="9" fontId="61" fillId="0" borderId="0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wrapText="1"/>
    </xf>
    <xf numFmtId="170" fontId="56" fillId="0" borderId="0" xfId="0" applyNumberFormat="1" applyFont="1" applyFill="1" applyBorder="1"/>
    <xf numFmtId="0" fontId="56" fillId="0" borderId="0" xfId="0" applyFont="1" applyFill="1" applyBorder="1" applyAlignment="1">
      <alignment horizontal="center"/>
    </xf>
    <xf numFmtId="1" fontId="59" fillId="0" borderId="0" xfId="0" applyNumberFormat="1" applyFont="1" applyFill="1" applyBorder="1"/>
    <xf numFmtId="168" fontId="56" fillId="0" borderId="0" xfId="1" applyNumberFormat="1" applyFont="1" applyFill="1" applyBorder="1" applyAlignment="1">
      <alignment horizontal="center"/>
    </xf>
    <xf numFmtId="168" fontId="56" fillId="0" borderId="0" xfId="1" applyNumberFormat="1" applyFont="1" applyFill="1" applyBorder="1" applyAlignment="1">
      <alignment horizontal="center" vertical="center"/>
    </xf>
    <xf numFmtId="166" fontId="65" fillId="0" borderId="82" xfId="2" applyNumberFormat="1" applyFont="1" applyFill="1" applyBorder="1" applyAlignment="1">
      <alignment horizontal="center"/>
    </xf>
    <xf numFmtId="3" fontId="56" fillId="0" borderId="82" xfId="0" applyNumberFormat="1" applyFont="1" applyFill="1" applyBorder="1"/>
    <xf numFmtId="0" fontId="66" fillId="0" borderId="0" xfId="0" applyFont="1" applyFill="1" applyBorder="1" applyAlignment="1">
      <alignment horizontal="center" vertical="top" wrapText="1"/>
    </xf>
    <xf numFmtId="0" fontId="67" fillId="0" borderId="0" xfId="0" applyFont="1" applyBorder="1" applyAlignment="1">
      <alignment horizontal="left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0" xfId="0" applyFont="1" applyBorder="1" applyAlignment="1">
      <alignment vertical="center" wrapText="1"/>
    </xf>
    <xf numFmtId="0" fontId="68" fillId="0" borderId="0" xfId="0" applyFont="1" applyBorder="1" applyAlignment="1">
      <alignment vertical="center" wrapText="1"/>
    </xf>
    <xf numFmtId="168" fontId="56" fillId="0" borderId="0" xfId="1" applyNumberFormat="1" applyFont="1" applyFill="1" applyBorder="1" applyAlignment="1">
      <alignment horizontal="center"/>
    </xf>
    <xf numFmtId="0" fontId="7" fillId="0" borderId="58" xfId="0" applyFont="1" applyFill="1" applyBorder="1" applyAlignment="1">
      <alignment horizontal="center"/>
    </xf>
    <xf numFmtId="0" fontId="7" fillId="11" borderId="14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70" fillId="0" borderId="0" xfId="0" applyFont="1" applyFill="1"/>
    <xf numFmtId="0" fontId="71" fillId="0" borderId="0" xfId="0" applyFont="1" applyFill="1"/>
    <xf numFmtId="0" fontId="72" fillId="20" borderId="2" xfId="0" applyFont="1" applyFill="1" applyBorder="1" applyAlignment="1">
      <alignment horizontal="center"/>
    </xf>
    <xf numFmtId="0" fontId="73" fillId="16" borderId="0" xfId="0" applyFont="1" applyFill="1" applyAlignment="1">
      <alignment horizontal="center"/>
    </xf>
    <xf numFmtId="0" fontId="70" fillId="5" borderId="0" xfId="0" applyFont="1" applyFill="1"/>
    <xf numFmtId="0" fontId="74" fillId="0" borderId="0" xfId="0" applyFont="1" applyFill="1"/>
    <xf numFmtId="0" fontId="72" fillId="0" borderId="1" xfId="0" applyFont="1" applyFill="1" applyBorder="1" applyAlignment="1">
      <alignment horizontal="center"/>
    </xf>
    <xf numFmtId="0" fontId="70" fillId="0" borderId="58" xfId="0" applyFont="1" applyFill="1" applyBorder="1"/>
    <xf numFmtId="0" fontId="72" fillId="0" borderId="2" xfId="0" applyFont="1" applyFill="1" applyBorder="1" applyAlignment="1">
      <alignment horizontal="center"/>
    </xf>
    <xf numFmtId="3" fontId="75" fillId="20" borderId="58" xfId="0" applyNumberFormat="1" applyFont="1" applyFill="1" applyBorder="1" applyAlignment="1">
      <alignment horizontal="center"/>
    </xf>
    <xf numFmtId="0" fontId="72" fillId="0" borderId="26" xfId="0" applyFont="1" applyFill="1" applyBorder="1" applyAlignment="1">
      <alignment horizontal="center"/>
    </xf>
    <xf numFmtId="0" fontId="76" fillId="0" borderId="1" xfId="0" applyFont="1" applyFill="1" applyBorder="1" applyAlignment="1">
      <alignment horizontal="center" wrapText="1"/>
    </xf>
    <xf numFmtId="0" fontId="73" fillId="20" borderId="58" xfId="0" applyFont="1" applyFill="1" applyBorder="1" applyAlignment="1">
      <alignment horizontal="center"/>
    </xf>
    <xf numFmtId="9" fontId="70" fillId="5" borderId="58" xfId="2" applyFont="1" applyFill="1" applyBorder="1"/>
    <xf numFmtId="0" fontId="76" fillId="0" borderId="59" xfId="0" applyFont="1" applyFill="1" applyBorder="1" applyAlignment="1">
      <alignment horizontal="center" vertical="center" wrapText="1"/>
    </xf>
    <xf numFmtId="0" fontId="76" fillId="20" borderId="59" xfId="0" applyFont="1" applyFill="1" applyBorder="1" applyAlignment="1">
      <alignment horizontal="center" vertical="center" wrapText="1"/>
    </xf>
    <xf numFmtId="0" fontId="76" fillId="20" borderId="1" xfId="0" applyFont="1" applyFill="1" applyBorder="1" applyAlignment="1">
      <alignment horizontal="center" vertical="center" wrapText="1"/>
    </xf>
    <xf numFmtId="9" fontId="76" fillId="16" borderId="1" xfId="0" applyNumberFormat="1" applyFont="1" applyFill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center" vertical="center" wrapText="1"/>
    </xf>
    <xf numFmtId="9" fontId="76" fillId="16" borderId="17" xfId="0" applyNumberFormat="1" applyFont="1" applyFill="1" applyBorder="1" applyAlignment="1">
      <alignment horizontal="center" vertical="center" wrapText="1"/>
    </xf>
    <xf numFmtId="0" fontId="76" fillId="16" borderId="17" xfId="0" applyFont="1" applyFill="1" applyBorder="1" applyAlignment="1">
      <alignment horizontal="center" vertical="center" wrapText="1"/>
    </xf>
    <xf numFmtId="0" fontId="76" fillId="16" borderId="60" xfId="0" applyFont="1" applyFill="1" applyBorder="1" applyAlignment="1">
      <alignment horizontal="center" vertical="center" wrapText="1"/>
    </xf>
    <xf numFmtId="0" fontId="76" fillId="16" borderId="58" xfId="0" applyFont="1" applyFill="1" applyBorder="1" applyAlignment="1">
      <alignment horizontal="center" vertical="center" wrapText="1"/>
    </xf>
    <xf numFmtId="0" fontId="72" fillId="0" borderId="58" xfId="0" applyFont="1" applyFill="1" applyBorder="1" applyAlignment="1">
      <alignment horizontal="center" wrapText="1"/>
    </xf>
    <xf numFmtId="9" fontId="72" fillId="11" borderId="58" xfId="0" applyNumberFormat="1" applyFont="1" applyFill="1" applyBorder="1" applyAlignment="1">
      <alignment horizontal="center" wrapText="1"/>
    </xf>
    <xf numFmtId="1" fontId="72" fillId="16" borderId="58" xfId="0" applyNumberFormat="1" applyFont="1" applyFill="1" applyBorder="1" applyAlignment="1">
      <alignment horizontal="center" wrapText="1"/>
    </xf>
    <xf numFmtId="43" fontId="72" fillId="11" borderId="58" xfId="0" applyNumberFormat="1" applyFont="1" applyFill="1" applyBorder="1" applyAlignment="1">
      <alignment horizontal="center" wrapText="1"/>
    </xf>
    <xf numFmtId="168" fontId="72" fillId="0" borderId="58" xfId="0" applyNumberFormat="1" applyFont="1" applyFill="1" applyBorder="1" applyAlignment="1">
      <alignment horizontal="center" wrapText="1"/>
    </xf>
    <xf numFmtId="168" fontId="70" fillId="0" borderId="1" xfId="0" applyNumberFormat="1" applyFont="1" applyFill="1" applyBorder="1"/>
    <xf numFmtId="1" fontId="70" fillId="0" borderId="58" xfId="0" applyNumberFormat="1" applyFont="1" applyFill="1" applyBorder="1"/>
    <xf numFmtId="168" fontId="70" fillId="0" borderId="58" xfId="0" applyNumberFormat="1" applyFont="1" applyFill="1" applyBorder="1"/>
    <xf numFmtId="43" fontId="70" fillId="16" borderId="58" xfId="0" applyNumberFormat="1" applyFont="1" applyFill="1" applyBorder="1" applyAlignment="1">
      <alignment horizontal="left"/>
    </xf>
    <xf numFmtId="43" fontId="70" fillId="0" borderId="58" xfId="0" applyNumberFormat="1" applyFont="1" applyFill="1" applyBorder="1" applyAlignment="1">
      <alignment horizontal="left"/>
    </xf>
    <xf numFmtId="0" fontId="76" fillId="0" borderId="58" xfId="0" applyFont="1" applyFill="1" applyBorder="1" applyAlignment="1">
      <alignment horizontal="center" wrapText="1"/>
    </xf>
    <xf numFmtId="9" fontId="72" fillId="0" borderId="58" xfId="0" applyNumberFormat="1" applyFont="1" applyFill="1" applyBorder="1" applyAlignment="1">
      <alignment horizontal="center" wrapText="1"/>
    </xf>
    <xf numFmtId="1" fontId="72" fillId="0" borderId="58" xfId="0" applyNumberFormat="1" applyFont="1" applyFill="1" applyBorder="1" applyAlignment="1">
      <alignment horizontal="center" wrapText="1"/>
    </xf>
    <xf numFmtId="0" fontId="70" fillId="20" borderId="58" xfId="0" applyFont="1" applyFill="1" applyBorder="1" applyAlignment="1">
      <alignment horizontal="center"/>
    </xf>
    <xf numFmtId="0" fontId="70" fillId="0" borderId="1" xfId="0" applyFont="1" applyFill="1" applyBorder="1"/>
    <xf numFmtId="0" fontId="73" fillId="0" borderId="58" xfId="0" applyFont="1" applyFill="1" applyBorder="1"/>
    <xf numFmtId="1" fontId="72" fillId="0" borderId="58" xfId="0" applyNumberFormat="1" applyFont="1" applyFill="1" applyBorder="1" applyAlignment="1">
      <alignment horizontal="center" vertical="center"/>
    </xf>
    <xf numFmtId="0" fontId="73" fillId="0" borderId="0" xfId="0" applyFont="1" applyFill="1"/>
    <xf numFmtId="1" fontId="70" fillId="0" borderId="0" xfId="0" applyNumberFormat="1" applyFont="1" applyFill="1" applyBorder="1"/>
    <xf numFmtId="0" fontId="70" fillId="0" borderId="0" xfId="0" applyFont="1" applyFill="1" applyBorder="1"/>
    <xf numFmtId="3" fontId="70" fillId="0" borderId="0" xfId="0" applyNumberFormat="1" applyFont="1" applyFill="1" applyBorder="1"/>
    <xf numFmtId="0" fontId="70" fillId="5" borderId="58" xfId="0" applyFont="1" applyFill="1" applyBorder="1"/>
    <xf numFmtId="0" fontId="73" fillId="0" borderId="0" xfId="0" applyFont="1" applyFill="1" applyBorder="1"/>
    <xf numFmtId="168" fontId="70" fillId="0" borderId="0" xfId="0" applyNumberFormat="1" applyFont="1" applyFill="1" applyBorder="1"/>
    <xf numFmtId="43" fontId="70" fillId="0" borderId="0" xfId="0" applyNumberFormat="1" applyFont="1" applyFill="1" applyBorder="1" applyAlignment="1">
      <alignment horizontal="left"/>
    </xf>
    <xf numFmtId="1" fontId="72" fillId="0" borderId="0" xfId="0" applyNumberFormat="1" applyFont="1" applyFill="1" applyBorder="1" applyAlignment="1">
      <alignment horizontal="center" vertical="center"/>
    </xf>
    <xf numFmtId="3" fontId="77" fillId="20" borderId="58" xfId="0" applyNumberFormat="1" applyFont="1" applyFill="1" applyBorder="1" applyAlignment="1">
      <alignment horizontal="center"/>
    </xf>
    <xf numFmtId="43" fontId="72" fillId="0" borderId="58" xfId="0" applyNumberFormat="1" applyFont="1" applyFill="1" applyBorder="1" applyAlignment="1">
      <alignment horizontal="center" wrapText="1"/>
    </xf>
    <xf numFmtId="169" fontId="70" fillId="16" borderId="58" xfId="0" applyNumberFormat="1" applyFont="1" applyFill="1" applyBorder="1" applyAlignment="1">
      <alignment horizontal="left"/>
    </xf>
    <xf numFmtId="9" fontId="70" fillId="5" borderId="58" xfId="0" applyNumberFormat="1" applyFont="1" applyFill="1" applyBorder="1"/>
    <xf numFmtId="43" fontId="72" fillId="16" borderId="58" xfId="0" applyNumberFormat="1" applyFont="1" applyFill="1" applyBorder="1" applyAlignment="1">
      <alignment horizontal="center" wrapText="1"/>
    </xf>
    <xf numFmtId="43" fontId="70" fillId="28" borderId="0" xfId="0" applyNumberFormat="1" applyFont="1" applyFill="1"/>
    <xf numFmtId="0" fontId="78" fillId="0" borderId="0" xfId="0" applyNumberFormat="1" applyFont="1" applyFill="1"/>
    <xf numFmtId="169" fontId="70" fillId="28" borderId="0" xfId="0" applyNumberFormat="1" applyFont="1" applyFill="1"/>
    <xf numFmtId="1" fontId="72" fillId="6" borderId="58" xfId="0" applyNumberFormat="1" applyFont="1" applyFill="1" applyBorder="1" applyAlignment="1">
      <alignment horizontal="center" wrapText="1"/>
    </xf>
    <xf numFmtId="43" fontId="71" fillId="0" borderId="0" xfId="1" applyFont="1" applyFill="1" applyBorder="1" applyAlignment="1">
      <alignment horizontal="center" vertical="center"/>
    </xf>
    <xf numFmtId="0" fontId="71" fillId="0" borderId="0" xfId="0" applyFont="1" applyFill="1" applyBorder="1" applyAlignment="1">
      <alignment horizontal="left"/>
    </xf>
    <xf numFmtId="0" fontId="72" fillId="0" borderId="0" xfId="0" applyFont="1" applyFill="1" applyBorder="1" applyAlignment="1">
      <alignment horizontal="center"/>
    </xf>
    <xf numFmtId="3" fontId="75" fillId="0" borderId="0" xfId="0" applyNumberFormat="1" applyFont="1" applyFill="1" applyBorder="1" applyAlignment="1">
      <alignment horizontal="center"/>
    </xf>
    <xf numFmtId="0" fontId="73" fillId="0" borderId="0" xfId="0" applyFont="1" applyFill="1" applyBorder="1" applyAlignment="1">
      <alignment horizontal="center"/>
    </xf>
    <xf numFmtId="9" fontId="76" fillId="0" borderId="0" xfId="0" applyNumberFormat="1" applyFont="1" applyFill="1" applyBorder="1" applyAlignment="1">
      <alignment horizontal="center" vertical="center" wrapText="1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>
      <alignment horizontal="center" wrapText="1"/>
    </xf>
    <xf numFmtId="1" fontId="73" fillId="0" borderId="0" xfId="0" applyNumberFormat="1" applyFont="1" applyFill="1" applyBorder="1"/>
    <xf numFmtId="170" fontId="70" fillId="0" borderId="0" xfId="0" applyNumberFormat="1" applyFont="1" applyFill="1" applyBorder="1"/>
    <xf numFmtId="0" fontId="70" fillId="0" borderId="0" xfId="0" applyFont="1" applyFill="1" applyBorder="1" applyAlignment="1">
      <alignment horizontal="center"/>
    </xf>
    <xf numFmtId="168" fontId="70" fillId="0" borderId="0" xfId="1" applyNumberFormat="1" applyFont="1" applyFill="1" applyBorder="1" applyAlignment="1">
      <alignment horizontal="center"/>
    </xf>
    <xf numFmtId="43" fontId="70" fillId="0" borderId="0" xfId="1" applyNumberFormat="1" applyFont="1" applyFill="1" applyBorder="1" applyAlignment="1">
      <alignment horizontal="center"/>
    </xf>
    <xf numFmtId="168" fontId="70" fillId="0" borderId="0" xfId="1" applyNumberFormat="1" applyFont="1" applyFill="1" applyBorder="1" applyAlignment="1">
      <alignment horizontal="center" vertical="center"/>
    </xf>
    <xf numFmtId="168" fontId="73" fillId="0" borderId="0" xfId="1" applyNumberFormat="1" applyFont="1" applyFill="1" applyBorder="1" applyAlignment="1">
      <alignment horizontal="center" vertical="center"/>
    </xf>
    <xf numFmtId="168" fontId="73" fillId="0" borderId="0" xfId="1" applyNumberFormat="1" applyFont="1" applyFill="1" applyBorder="1" applyAlignment="1">
      <alignment horizontal="center"/>
    </xf>
    <xf numFmtId="0" fontId="77" fillId="11" borderId="64" xfId="0" applyFont="1" applyFill="1" applyBorder="1" applyAlignment="1">
      <alignment horizontal="center" vertical="center" wrapText="1"/>
    </xf>
    <xf numFmtId="0" fontId="77" fillId="11" borderId="84" xfId="0" applyFont="1" applyFill="1" applyBorder="1" applyAlignment="1">
      <alignment horizontal="center" vertical="center" wrapText="1"/>
    </xf>
    <xf numFmtId="0" fontId="77" fillId="11" borderId="85" xfId="0" applyFont="1" applyFill="1" applyBorder="1" applyAlignment="1">
      <alignment horizontal="center" vertical="center" wrapText="1"/>
    </xf>
    <xf numFmtId="166" fontId="80" fillId="0" borderId="82" xfId="2" applyNumberFormat="1" applyFont="1" applyFill="1" applyBorder="1" applyAlignment="1">
      <alignment horizontal="center"/>
    </xf>
    <xf numFmtId="3" fontId="70" fillId="0" borderId="82" xfId="0" applyNumberFormat="1" applyFont="1" applyFill="1" applyBorder="1"/>
    <xf numFmtId="0" fontId="81" fillId="0" borderId="0" xfId="0" applyFont="1" applyFill="1" applyBorder="1" applyAlignment="1">
      <alignment horizontal="center" vertical="top" wrapText="1"/>
    </xf>
    <xf numFmtId="0" fontId="82" fillId="0" borderId="0" xfId="0" applyFont="1" applyBorder="1" applyAlignment="1">
      <alignment horizontal="left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0" xfId="0" applyFont="1" applyBorder="1" applyAlignment="1">
      <alignment vertical="center" wrapText="1"/>
    </xf>
    <xf numFmtId="0" fontId="83" fillId="0" borderId="0" xfId="0" applyFont="1" applyBorder="1" applyAlignment="1">
      <alignment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77" fillId="0" borderId="82" xfId="0" applyFont="1" applyFill="1" applyBorder="1" applyAlignment="1">
      <alignment horizontal="center" vertical="center" wrapText="1"/>
    </xf>
    <xf numFmtId="0" fontId="77" fillId="0" borderId="82" xfId="0" applyFont="1" applyFill="1" applyBorder="1" applyAlignment="1">
      <alignment horizontal="justify" vertical="center" wrapText="1"/>
    </xf>
    <xf numFmtId="0" fontId="75" fillId="0" borderId="82" xfId="0" applyFont="1" applyFill="1" applyBorder="1" applyAlignment="1">
      <alignment horizontal="center" vertical="center" wrapText="1"/>
    </xf>
    <xf numFmtId="3" fontId="75" fillId="0" borderId="82" xfId="0" applyNumberFormat="1" applyFont="1" applyFill="1" applyBorder="1" applyAlignment="1">
      <alignment horizontal="center" vertical="center" wrapText="1"/>
    </xf>
    <xf numFmtId="10" fontId="75" fillId="0" borderId="82" xfId="0" applyNumberFormat="1" applyFont="1" applyFill="1" applyBorder="1" applyAlignment="1">
      <alignment horizontal="center" vertical="center" wrapText="1"/>
    </xf>
    <xf numFmtId="1" fontId="75" fillId="0" borderId="82" xfId="0" applyNumberFormat="1" applyFont="1" applyFill="1" applyBorder="1" applyAlignment="1">
      <alignment horizontal="center" vertical="center" wrapText="1"/>
    </xf>
    <xf numFmtId="2" fontId="75" fillId="0" borderId="82" xfId="0" applyNumberFormat="1" applyFont="1" applyFill="1" applyBorder="1" applyAlignment="1">
      <alignment horizontal="center" vertical="center" wrapText="1"/>
    </xf>
    <xf numFmtId="0" fontId="79" fillId="0" borderId="82" xfId="0" applyFont="1" applyFill="1" applyBorder="1" applyAlignment="1">
      <alignment horizontal="justify" vertical="center" wrapText="1"/>
    </xf>
    <xf numFmtId="0" fontId="77" fillId="0" borderId="82" xfId="0" applyFont="1" applyFill="1" applyBorder="1" applyAlignment="1">
      <alignment vertical="center" wrapText="1"/>
    </xf>
    <xf numFmtId="0" fontId="62" fillId="0" borderId="82" xfId="0" applyFont="1" applyFill="1" applyBorder="1" applyAlignment="1">
      <alignment horizontal="center" vertical="center" wrapText="1"/>
    </xf>
    <xf numFmtId="0" fontId="62" fillId="0" borderId="82" xfId="0" applyFont="1" applyFill="1" applyBorder="1" applyAlignment="1">
      <alignment horizontal="justify" vertical="center" wrapText="1"/>
    </xf>
    <xf numFmtId="0" fontId="60" fillId="0" borderId="82" xfId="0" applyFont="1" applyFill="1" applyBorder="1" applyAlignment="1">
      <alignment horizontal="center" vertical="center" wrapText="1"/>
    </xf>
    <xf numFmtId="3" fontId="60" fillId="0" borderId="82" xfId="0" applyNumberFormat="1" applyFont="1" applyFill="1" applyBorder="1" applyAlignment="1">
      <alignment horizontal="center" vertical="center" wrapText="1"/>
    </xf>
    <xf numFmtId="10" fontId="60" fillId="0" borderId="82" xfId="0" applyNumberFormat="1" applyFont="1" applyFill="1" applyBorder="1" applyAlignment="1">
      <alignment horizontal="center" vertical="center" wrapText="1"/>
    </xf>
    <xf numFmtId="1" fontId="60" fillId="0" borderId="82" xfId="0" applyNumberFormat="1" applyFont="1" applyFill="1" applyBorder="1" applyAlignment="1">
      <alignment horizontal="center" vertical="center" wrapText="1"/>
    </xf>
    <xf numFmtId="2" fontId="60" fillId="0" borderId="82" xfId="0" applyNumberFormat="1" applyFont="1" applyFill="1" applyBorder="1" applyAlignment="1">
      <alignment horizontal="center" vertical="center" wrapText="1"/>
    </xf>
    <xf numFmtId="10" fontId="60" fillId="0" borderId="82" xfId="2" applyNumberFormat="1" applyFont="1" applyFill="1" applyBorder="1" applyAlignment="1">
      <alignment horizontal="center" vertical="center" wrapText="1"/>
    </xf>
    <xf numFmtId="4" fontId="60" fillId="0" borderId="82" xfId="0" applyNumberFormat="1" applyFont="1" applyFill="1" applyBorder="1" applyAlignment="1">
      <alignment horizontal="center" vertical="center" wrapText="1"/>
    </xf>
    <xf numFmtId="0" fontId="64" fillId="0" borderId="82" xfId="0" applyFont="1" applyFill="1" applyBorder="1" applyAlignment="1">
      <alignment horizontal="justify" vertical="center" wrapText="1"/>
    </xf>
    <xf numFmtId="168" fontId="0" fillId="0" borderId="82" xfId="0" applyNumberFormat="1" applyFill="1" applyBorder="1"/>
    <xf numFmtId="10" fontId="0" fillId="0" borderId="82" xfId="0" applyNumberFormat="1" applyFill="1" applyBorder="1"/>
    <xf numFmtId="0" fontId="0" fillId="0" borderId="82" xfId="0" applyBorder="1"/>
    <xf numFmtId="0" fontId="6" fillId="0" borderId="82" xfId="0" applyFont="1" applyBorder="1"/>
    <xf numFmtId="9" fontId="0" fillId="0" borderId="82" xfId="0" applyNumberFormat="1" applyBorder="1"/>
    <xf numFmtId="9" fontId="0" fillId="0" borderId="82" xfId="2" applyFont="1" applyBorder="1"/>
    <xf numFmtId="0" fontId="6" fillId="0" borderId="82" xfId="0" applyFont="1" applyBorder="1" applyAlignment="1">
      <alignment horizontal="center"/>
    </xf>
    <xf numFmtId="168" fontId="46" fillId="0" borderId="82" xfId="1" applyNumberFormat="1" applyFont="1" applyFill="1" applyBorder="1"/>
    <xf numFmtId="168" fontId="8" fillId="0" borderId="82" xfId="1" applyNumberFormat="1" applyFont="1" applyFill="1" applyBorder="1"/>
    <xf numFmtId="168" fontId="85" fillId="0" borderId="82" xfId="1" applyNumberFormat="1" applyFont="1" applyFill="1" applyBorder="1"/>
    <xf numFmtId="168" fontId="8" fillId="0" borderId="82" xfId="0" applyNumberFormat="1" applyFont="1" applyFill="1" applyBorder="1"/>
    <xf numFmtId="0" fontId="87" fillId="0" borderId="0" xfId="10" applyFont="1" applyFill="1" applyAlignment="1">
      <alignment vertical="top"/>
    </xf>
    <xf numFmtId="0" fontId="88" fillId="0" borderId="0" xfId="10" applyFont="1" applyFill="1"/>
    <xf numFmtId="0" fontId="89" fillId="0" borderId="82" xfId="10" applyFont="1" applyBorder="1" applyAlignment="1">
      <alignment horizontal="center"/>
    </xf>
    <xf numFmtId="0" fontId="89" fillId="0" borderId="82" xfId="10" applyFont="1" applyBorder="1"/>
    <xf numFmtId="0" fontId="89" fillId="0" borderId="68" xfId="10" applyFont="1" applyBorder="1"/>
    <xf numFmtId="0" fontId="89" fillId="0" borderId="68" xfId="10" applyFont="1" applyBorder="1" applyAlignment="1">
      <alignment wrapText="1"/>
    </xf>
    <xf numFmtId="0" fontId="89" fillId="0" borderId="82" xfId="10" applyFont="1" applyFill="1" applyBorder="1"/>
    <xf numFmtId="0" fontId="84" fillId="0" borderId="64" xfId="10" applyFont="1" applyFill="1" applyBorder="1" applyAlignment="1">
      <alignment horizontal="center" vertical="center" wrapText="1"/>
    </xf>
    <xf numFmtId="0" fontId="84" fillId="0" borderId="85" xfId="10" applyFont="1" applyFill="1" applyBorder="1" applyAlignment="1">
      <alignment horizontal="center" vertical="center" wrapText="1"/>
    </xf>
    <xf numFmtId="0" fontId="84" fillId="0" borderId="84" xfId="10" applyFont="1" applyFill="1" applyBorder="1" applyAlignment="1">
      <alignment horizontal="center" vertical="center" wrapText="1"/>
    </xf>
    <xf numFmtId="0" fontId="8" fillId="0" borderId="61" xfId="10" applyFont="1" applyFill="1" applyBorder="1" applyAlignment="1">
      <alignment horizontal="right"/>
    </xf>
    <xf numFmtId="0" fontId="8" fillId="0" borderId="82" xfId="10" applyFont="1" applyFill="1" applyBorder="1"/>
    <xf numFmtId="0" fontId="88" fillId="0" borderId="55" xfId="10" applyFont="1" applyFill="1" applyBorder="1"/>
    <xf numFmtId="0" fontId="86" fillId="0" borderId="82" xfId="10" applyBorder="1"/>
    <xf numFmtId="0" fontId="86" fillId="0" borderId="82" xfId="10" applyFill="1" applyBorder="1"/>
    <xf numFmtId="0" fontId="88" fillId="0" borderId="61" xfId="10" applyFont="1" applyFill="1" applyBorder="1" applyProtection="1">
      <protection locked="0"/>
    </xf>
    <xf numFmtId="0" fontId="88" fillId="0" borderId="14" xfId="10" applyFont="1" applyFill="1" applyBorder="1" applyAlignment="1">
      <alignment horizontal="center"/>
    </xf>
    <xf numFmtId="0" fontId="88" fillId="0" borderId="82" xfId="10" applyFont="1" applyFill="1" applyBorder="1" applyAlignment="1">
      <alignment horizontal="center"/>
    </xf>
    <xf numFmtId="0" fontId="88" fillId="0" borderId="0" xfId="10" applyFont="1" applyFill="1" applyProtection="1">
      <protection locked="0"/>
    </xf>
    <xf numFmtId="0" fontId="8" fillId="0" borderId="61" xfId="10" applyFont="1" applyFill="1" applyBorder="1" applyAlignment="1">
      <alignment horizontal="center" wrapText="1"/>
    </xf>
    <xf numFmtId="9" fontId="8" fillId="0" borderId="82" xfId="10" applyNumberFormat="1" applyFont="1" applyFill="1" applyBorder="1" applyAlignment="1">
      <alignment horizontal="center" wrapText="1"/>
    </xf>
    <xf numFmtId="0" fontId="8" fillId="0" borderId="82" xfId="10" applyFont="1" applyFill="1" applyBorder="1" applyAlignment="1">
      <alignment horizontal="center" wrapText="1"/>
    </xf>
    <xf numFmtId="1" fontId="8" fillId="0" borderId="66" xfId="10" applyNumberFormat="1" applyFont="1" applyFill="1" applyBorder="1" applyAlignment="1">
      <alignment horizontal="center" wrapText="1"/>
    </xf>
    <xf numFmtId="0" fontId="88" fillId="0" borderId="66" xfId="10" applyFont="1" applyFill="1" applyBorder="1"/>
    <xf numFmtId="168" fontId="8" fillId="0" borderId="66" xfId="10" applyNumberFormat="1" applyFont="1" applyFill="1" applyBorder="1"/>
    <xf numFmtId="0" fontId="88" fillId="0" borderId="82" xfId="10" applyFont="1" applyFill="1" applyBorder="1"/>
    <xf numFmtId="0" fontId="90" fillId="0" borderId="0" xfId="10" applyFont="1" applyFill="1"/>
    <xf numFmtId="0" fontId="84" fillId="0" borderId="91" xfId="10" applyFont="1" applyFill="1" applyBorder="1" applyAlignment="1">
      <alignment horizontal="center" vertical="center" wrapText="1"/>
    </xf>
    <xf numFmtId="0" fontId="8" fillId="0" borderId="63" xfId="10" applyFont="1" applyFill="1" applyBorder="1" applyAlignment="1">
      <alignment horizontal="center" wrapText="1"/>
    </xf>
    <xf numFmtId="9" fontId="8" fillId="0" borderId="86" xfId="10" applyNumberFormat="1" applyFont="1" applyFill="1" applyBorder="1" applyAlignment="1">
      <alignment horizontal="center" wrapText="1"/>
    </xf>
    <xf numFmtId="0" fontId="8" fillId="0" borderId="86" xfId="10" applyFont="1" applyFill="1" applyBorder="1" applyAlignment="1">
      <alignment horizontal="center" wrapText="1"/>
    </xf>
    <xf numFmtId="0" fontId="8" fillId="0" borderId="87" xfId="10" applyFont="1" applyFill="1" applyBorder="1" applyAlignment="1">
      <alignment horizontal="center" wrapText="1"/>
    </xf>
    <xf numFmtId="9" fontId="88" fillId="0" borderId="2" xfId="10" applyNumberFormat="1" applyFont="1" applyFill="1" applyBorder="1"/>
    <xf numFmtId="0" fontId="88" fillId="0" borderId="63" xfId="10" applyFont="1" applyFill="1" applyBorder="1" applyProtection="1">
      <protection locked="0"/>
    </xf>
    <xf numFmtId="0" fontId="88" fillId="0" borderId="67" xfId="10" applyFont="1" applyFill="1" applyBorder="1" applyAlignment="1">
      <alignment horizontal="center"/>
    </xf>
    <xf numFmtId="0" fontId="91" fillId="0" borderId="0" xfId="10" applyFont="1" applyFill="1"/>
    <xf numFmtId="0" fontId="84" fillId="0" borderId="0" xfId="10" applyFont="1" applyFill="1" applyBorder="1" applyAlignment="1">
      <alignment horizontal="center" vertical="center" wrapText="1"/>
    </xf>
    <xf numFmtId="0" fontId="84" fillId="0" borderId="93" xfId="10" applyFont="1" applyFill="1" applyBorder="1" applyAlignment="1">
      <alignment vertical="center" wrapText="1"/>
    </xf>
    <xf numFmtId="0" fontId="90" fillId="0" borderId="85" xfId="10" applyFont="1" applyFill="1" applyBorder="1" applyAlignment="1">
      <alignment horizontal="center" vertical="center"/>
    </xf>
    <xf numFmtId="0" fontId="8" fillId="0" borderId="61" xfId="10" applyFont="1" applyFill="1" applyBorder="1"/>
    <xf numFmtId="0" fontId="8" fillId="0" borderId="82" xfId="10" applyFont="1" applyFill="1" applyBorder="1" applyAlignment="1">
      <alignment horizontal="right"/>
    </xf>
    <xf numFmtId="1" fontId="88" fillId="0" borderId="66" xfId="10" applyNumberFormat="1" applyFont="1" applyFill="1" applyBorder="1"/>
    <xf numFmtId="9" fontId="88" fillId="0" borderId="14" xfId="10" applyNumberFormat="1" applyFont="1" applyFill="1" applyBorder="1"/>
    <xf numFmtId="9" fontId="88" fillId="0" borderId="66" xfId="10" applyNumberFormat="1" applyFont="1" applyFill="1" applyBorder="1"/>
    <xf numFmtId="0" fontId="90" fillId="0" borderId="0" xfId="10" applyFont="1" applyFill="1" applyBorder="1" applyAlignment="1">
      <alignment horizontal="right"/>
    </xf>
    <xf numFmtId="0" fontId="88" fillId="0" borderId="0" xfId="10" applyFont="1" applyFill="1" applyBorder="1" applyAlignment="1">
      <alignment horizontal="right"/>
    </xf>
    <xf numFmtId="9" fontId="88" fillId="0" borderId="67" xfId="10" applyNumberFormat="1" applyFont="1" applyFill="1" applyBorder="1"/>
    <xf numFmtId="9" fontId="88" fillId="0" borderId="87" xfId="10" applyNumberFormat="1" applyFont="1" applyFill="1" applyBorder="1"/>
    <xf numFmtId="0" fontId="8" fillId="0" borderId="63" xfId="10" applyFont="1" applyFill="1" applyBorder="1"/>
    <xf numFmtId="0" fontId="8" fillId="0" borderId="86" xfId="10" applyFont="1" applyFill="1" applyBorder="1" applyAlignment="1">
      <alignment horizontal="right"/>
    </xf>
    <xf numFmtId="2" fontId="88" fillId="0" borderId="87" xfId="10" applyNumberFormat="1" applyFont="1" applyFill="1" applyBorder="1"/>
    <xf numFmtId="0" fontId="88" fillId="0" borderId="0" xfId="10" applyFont="1" applyFill="1" applyBorder="1" applyAlignment="1" applyProtection="1">
      <alignment horizontal="center" vertical="center"/>
      <protection locked="0"/>
    </xf>
    <xf numFmtId="0" fontId="88" fillId="0" borderId="0" xfId="10" applyFont="1" applyFill="1" applyBorder="1"/>
    <xf numFmtId="0" fontId="88" fillId="0" borderId="96" xfId="10" applyFont="1" applyFill="1" applyBorder="1"/>
    <xf numFmtId="0" fontId="88" fillId="0" borderId="18" xfId="10" applyFont="1" applyFill="1" applyBorder="1"/>
    <xf numFmtId="0" fontId="93" fillId="0" borderId="18" xfId="10" applyFont="1" applyFill="1" applyBorder="1" applyAlignment="1">
      <alignment vertical="center" wrapText="1"/>
    </xf>
    <xf numFmtId="0" fontId="84" fillId="0" borderId="18" xfId="10" applyFont="1" applyFill="1" applyBorder="1" applyAlignment="1">
      <alignment horizontal="center" vertical="center" wrapText="1"/>
    </xf>
    <xf numFmtId="0" fontId="84" fillId="0" borderId="65" xfId="10" applyFont="1" applyFill="1" applyBorder="1" applyAlignment="1">
      <alignment horizontal="center" vertical="center" wrapText="1"/>
    </xf>
    <xf numFmtId="0" fontId="90" fillId="0" borderId="0" xfId="10" applyFont="1" applyFill="1" applyBorder="1"/>
    <xf numFmtId="0" fontId="93" fillId="0" borderId="18" xfId="10" applyFont="1" applyFill="1" applyBorder="1" applyAlignment="1">
      <alignment horizontal="center" vertical="center" wrapText="1"/>
    </xf>
    <xf numFmtId="0" fontId="88" fillId="0" borderId="61" xfId="10" applyFont="1" applyFill="1" applyBorder="1"/>
    <xf numFmtId="0" fontId="93" fillId="4" borderId="82" xfId="10" applyFont="1" applyFill="1" applyBorder="1" applyAlignment="1">
      <alignment horizontal="center" vertical="center" wrapText="1"/>
    </xf>
    <xf numFmtId="0" fontId="93" fillId="0" borderId="82" xfId="10" applyFont="1" applyFill="1" applyBorder="1" applyAlignment="1">
      <alignment horizontal="center" vertical="center" wrapText="1"/>
    </xf>
    <xf numFmtId="0" fontId="93" fillId="0" borderId="66" xfId="10" applyFont="1" applyFill="1" applyBorder="1" applyAlignment="1">
      <alignment horizontal="center" vertical="center" wrapText="1"/>
    </xf>
    <xf numFmtId="0" fontId="90" fillId="0" borderId="0" xfId="10" applyFont="1" applyFill="1" applyBorder="1" applyProtection="1">
      <protection locked="0"/>
    </xf>
    <xf numFmtId="0" fontId="88" fillId="0" borderId="63" xfId="10" applyFont="1" applyFill="1" applyBorder="1"/>
    <xf numFmtId="0" fontId="88" fillId="0" borderId="86" xfId="10" applyFont="1" applyFill="1" applyBorder="1"/>
    <xf numFmtId="0" fontId="93" fillId="0" borderId="86" xfId="10" applyFont="1" applyFill="1" applyBorder="1" applyAlignment="1">
      <alignment horizontal="center" vertical="center" wrapText="1"/>
    </xf>
    <xf numFmtId="0" fontId="88" fillId="0" borderId="87" xfId="10" applyFont="1" applyFill="1" applyBorder="1"/>
    <xf numFmtId="0" fontId="88" fillId="0" borderId="0" xfId="10" applyFont="1" applyFill="1" applyBorder="1" applyProtection="1">
      <protection locked="0"/>
    </xf>
    <xf numFmtId="0" fontId="88" fillId="0" borderId="2" xfId="10" applyFont="1" applyFill="1" applyBorder="1" applyAlignment="1">
      <alignment horizontal="center"/>
    </xf>
    <xf numFmtId="0" fontId="96" fillId="0" borderId="82" xfId="10" applyFont="1" applyBorder="1" applyAlignment="1">
      <alignment horizontal="center"/>
    </xf>
    <xf numFmtId="0" fontId="96" fillId="0" borderId="82" xfId="10" applyFont="1" applyFill="1" applyBorder="1" applyAlignment="1">
      <alignment horizontal="center"/>
    </xf>
    <xf numFmtId="0" fontId="89" fillId="0" borderId="82" xfId="10" applyFont="1" applyFill="1" applyBorder="1" applyAlignment="1" applyProtection="1">
      <alignment horizontal="center" vertical="center"/>
      <protection locked="0"/>
    </xf>
    <xf numFmtId="0" fontId="89" fillId="0" borderId="0" xfId="10" applyFont="1" applyFill="1" applyProtection="1">
      <protection locked="0"/>
    </xf>
    <xf numFmtId="0" fontId="98" fillId="0" borderId="0" xfId="10" applyFont="1" applyFill="1" applyAlignment="1" applyProtection="1">
      <alignment horizontal="center"/>
    </xf>
    <xf numFmtId="0" fontId="98" fillId="0" borderId="82" xfId="10" applyFont="1" applyFill="1" applyBorder="1" applyAlignment="1" applyProtection="1">
      <alignment horizontal="center" wrapText="1"/>
    </xf>
    <xf numFmtId="10" fontId="98" fillId="0" borderId="0" xfId="10" applyNumberFormat="1" applyFont="1" applyFill="1" applyAlignment="1" applyProtection="1">
      <alignment horizontal="center"/>
    </xf>
    <xf numFmtId="0" fontId="98" fillId="31" borderId="82" xfId="10" applyFont="1" applyFill="1" applyBorder="1" applyAlignment="1">
      <alignment horizontal="center"/>
    </xf>
    <xf numFmtId="0" fontId="98" fillId="31" borderId="14" xfId="10" applyFont="1" applyFill="1" applyBorder="1" applyAlignment="1">
      <alignment horizontal="center"/>
    </xf>
    <xf numFmtId="0" fontId="98" fillId="0" borderId="82" xfId="10" applyFont="1" applyFill="1" applyBorder="1" applyAlignment="1" applyProtection="1">
      <alignment horizontal="center"/>
    </xf>
    <xf numFmtId="0" fontId="98" fillId="31" borderId="82" xfId="10" applyFont="1" applyFill="1" applyBorder="1" applyAlignment="1" applyProtection="1">
      <alignment horizontal="center"/>
    </xf>
    <xf numFmtId="168" fontId="89" fillId="0" borderId="82" xfId="10" applyNumberFormat="1" applyFont="1" applyFill="1" applyBorder="1" applyAlignment="1" applyProtection="1">
      <alignment horizontal="center" vertical="center"/>
      <protection locked="0"/>
    </xf>
    <xf numFmtId="170" fontId="89" fillId="0" borderId="82" xfId="10" applyNumberFormat="1" applyFont="1" applyFill="1" applyBorder="1" applyProtection="1">
      <protection locked="0"/>
    </xf>
    <xf numFmtId="2" fontId="98" fillId="0" borderId="82" xfId="10" applyNumberFormat="1" applyFont="1" applyFill="1" applyBorder="1" applyAlignment="1" applyProtection="1">
      <alignment horizontal="center"/>
    </xf>
    <xf numFmtId="10" fontId="99" fillId="0" borderId="82" xfId="11" applyNumberFormat="1" applyFont="1" applyFill="1" applyBorder="1" applyProtection="1">
      <protection locked="0"/>
    </xf>
    <xf numFmtId="10" fontId="98" fillId="0" borderId="82" xfId="12" applyNumberFormat="1" applyFont="1" applyFill="1" applyBorder="1" applyAlignment="1" applyProtection="1">
      <alignment horizontal="center" vertical="center"/>
    </xf>
    <xf numFmtId="10" fontId="89" fillId="0" borderId="82" xfId="10" applyNumberFormat="1" applyFont="1" applyFill="1" applyBorder="1" applyProtection="1">
      <protection locked="0"/>
    </xf>
    <xf numFmtId="0" fontId="89" fillId="0" borderId="82" xfId="10" applyFont="1" applyFill="1" applyBorder="1" applyProtection="1">
      <protection locked="0"/>
    </xf>
    <xf numFmtId="166" fontId="99" fillId="0" borderId="82" xfId="11" applyNumberFormat="1" applyFont="1" applyFill="1" applyBorder="1" applyAlignment="1" applyProtection="1">
      <alignment vertical="center"/>
      <protection locked="0"/>
    </xf>
    <xf numFmtId="0" fontId="89" fillId="0" borderId="82" xfId="10" applyFont="1" applyFill="1" applyBorder="1" applyAlignment="1" applyProtection="1">
      <alignment horizontal="center"/>
      <protection locked="0"/>
    </xf>
    <xf numFmtId="0" fontId="89" fillId="0" borderId="82" xfId="10" applyFont="1" applyFill="1" applyBorder="1" applyAlignment="1" applyProtection="1">
      <alignment horizontal="right"/>
      <protection locked="0"/>
    </xf>
    <xf numFmtId="168" fontId="89" fillId="0" borderId="82" xfId="10" applyNumberFormat="1" applyFont="1" applyFill="1" applyBorder="1" applyAlignment="1" applyProtection="1">
      <alignment horizontal="right"/>
      <protection locked="0"/>
    </xf>
    <xf numFmtId="2" fontId="89" fillId="0" borderId="82" xfId="10" applyNumberFormat="1" applyFont="1" applyFill="1" applyBorder="1" applyProtection="1">
      <protection locked="0"/>
    </xf>
    <xf numFmtId="167" fontId="99" fillId="0" borderId="82" xfId="11" applyNumberFormat="1" applyFont="1" applyFill="1" applyBorder="1" applyProtection="1">
      <protection locked="0"/>
    </xf>
    <xf numFmtId="43" fontId="99" fillId="0" borderId="82" xfId="11" applyNumberFormat="1" applyFont="1" applyFill="1" applyBorder="1" applyProtection="1">
      <protection locked="0"/>
    </xf>
    <xf numFmtId="0" fontId="89" fillId="0" borderId="0" xfId="10" applyFont="1" applyFill="1" applyBorder="1" applyProtection="1">
      <protection locked="0"/>
    </xf>
    <xf numFmtId="170" fontId="89" fillId="0" borderId="0" xfId="10" applyNumberFormat="1" applyFont="1" applyFill="1" applyBorder="1" applyProtection="1">
      <protection locked="0"/>
    </xf>
    <xf numFmtId="1" fontId="89" fillId="0" borderId="82" xfId="10" applyNumberFormat="1" applyFont="1" applyFill="1" applyBorder="1" applyProtection="1">
      <protection locked="0"/>
    </xf>
    <xf numFmtId="10" fontId="99" fillId="0" borderId="82" xfId="12" applyNumberFormat="1" applyFont="1" applyFill="1" applyBorder="1" applyProtection="1">
      <protection locked="0"/>
    </xf>
    <xf numFmtId="10" fontId="98" fillId="0" borderId="82" xfId="10" applyNumberFormat="1" applyFont="1" applyFill="1" applyBorder="1" applyAlignment="1" applyProtection="1">
      <alignment horizontal="center"/>
    </xf>
    <xf numFmtId="0" fontId="89" fillId="22" borderId="0" xfId="10" applyFont="1" applyFill="1" applyProtection="1">
      <protection locked="0"/>
    </xf>
    <xf numFmtId="0" fontId="98" fillId="22" borderId="0" xfId="10" applyFont="1" applyFill="1" applyAlignment="1" applyProtection="1">
      <alignment horizontal="center"/>
    </xf>
    <xf numFmtId="0" fontId="101" fillId="0" borderId="82" xfId="10" applyFont="1" applyFill="1" applyBorder="1" applyAlignment="1" applyProtection="1">
      <alignment horizontal="left"/>
    </xf>
    <xf numFmtId="0" fontId="33" fillId="0" borderId="82" xfId="10" applyFont="1" applyFill="1" applyBorder="1" applyAlignment="1">
      <alignment horizontal="center" vertical="center" wrapText="1"/>
    </xf>
    <xf numFmtId="43" fontId="41" fillId="0" borderId="82" xfId="13" applyFont="1" applyFill="1" applyBorder="1" applyAlignment="1">
      <alignment horizontal="right" vertical="top" wrapText="1"/>
    </xf>
    <xf numFmtId="0" fontId="24" fillId="0" borderId="0" xfId="0" applyFont="1"/>
    <xf numFmtId="0" fontId="86" fillId="0" borderId="82" xfId="18" applyFill="1" applyBorder="1"/>
    <xf numFmtId="10" fontId="41" fillId="0" borderId="82" xfId="12" applyNumberFormat="1" applyFont="1" applyFill="1" applyBorder="1" applyAlignment="1">
      <alignment horizontal="right" vertical="top" wrapText="1"/>
    </xf>
    <xf numFmtId="0" fontId="105" fillId="0" borderId="82" xfId="10" applyFont="1" applyFill="1" applyBorder="1" applyAlignment="1">
      <alignment horizontal="center" vertical="center"/>
    </xf>
    <xf numFmtId="0" fontId="104" fillId="0" borderId="82" xfId="10" applyFont="1" applyFill="1" applyBorder="1" applyAlignment="1">
      <alignment horizontal="center" vertical="center" wrapText="1"/>
    </xf>
    <xf numFmtId="0" fontId="41" fillId="0" borderId="82" xfId="10" applyFont="1" applyFill="1" applyBorder="1" applyAlignment="1">
      <alignment horizontal="center" vertical="center" wrapText="1"/>
    </xf>
    <xf numFmtId="9" fontId="86" fillId="0" borderId="82" xfId="18" applyNumberFormat="1" applyFill="1" applyBorder="1"/>
    <xf numFmtId="0" fontId="107" fillId="0" borderId="101" xfId="0" applyFont="1" applyBorder="1" applyAlignment="1">
      <alignment horizontal="center" vertical="center" wrapText="1"/>
    </xf>
    <xf numFmtId="0" fontId="33" fillId="20" borderId="82" xfId="18" applyFont="1" applyFill="1" applyBorder="1" applyAlignment="1">
      <alignment horizontal="center" vertical="center" wrapText="1"/>
    </xf>
    <xf numFmtId="0" fontId="33" fillId="20" borderId="66" xfId="18" applyFont="1" applyFill="1" applyBorder="1" applyAlignment="1">
      <alignment horizontal="center" vertical="center" wrapText="1"/>
    </xf>
    <xf numFmtId="0" fontId="86" fillId="20" borderId="82" xfId="18" applyFill="1" applyBorder="1"/>
    <xf numFmtId="0" fontId="95" fillId="20" borderId="82" xfId="18" applyFont="1" applyFill="1" applyBorder="1"/>
    <xf numFmtId="43" fontId="86" fillId="20" borderId="82" xfId="20" applyFont="1" applyFill="1" applyBorder="1"/>
    <xf numFmtId="0" fontId="0" fillId="0" borderId="100" xfId="0" applyBorder="1" applyAlignment="1">
      <alignment vertical="center" wrapText="1"/>
    </xf>
    <xf numFmtId="0" fontId="107" fillId="0" borderId="100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justify" vertical="center" wrapText="1"/>
    </xf>
    <xf numFmtId="0" fontId="41" fillId="0" borderId="100" xfId="0" applyFont="1" applyBorder="1" applyAlignment="1">
      <alignment horizontal="center" vertical="center" wrapText="1"/>
    </xf>
    <xf numFmtId="0" fontId="33" fillId="0" borderId="82" xfId="10" applyFont="1" applyFill="1" applyBorder="1" applyAlignment="1">
      <alignment horizontal="center" vertical="center" wrapText="1"/>
    </xf>
    <xf numFmtId="0" fontId="95" fillId="0" borderId="97" xfId="10" applyFont="1" applyFill="1" applyBorder="1" applyAlignment="1" applyProtection="1">
      <alignment horizontal="left"/>
      <protection locked="0"/>
    </xf>
    <xf numFmtId="0" fontId="89" fillId="0" borderId="82" xfId="18" applyFont="1" applyFill="1" applyBorder="1" applyAlignment="1">
      <alignment wrapText="1"/>
    </xf>
    <xf numFmtId="0" fontId="89" fillId="0" borderId="82" xfId="10" applyFont="1" applyFill="1" applyBorder="1" applyAlignment="1" applyProtection="1">
      <alignment wrapText="1"/>
      <protection locked="0"/>
    </xf>
    <xf numFmtId="167" fontId="89" fillId="0" borderId="82" xfId="10" applyNumberFormat="1" applyFont="1" applyFill="1" applyBorder="1" applyProtection="1">
      <protection locked="0"/>
    </xf>
    <xf numFmtId="167" fontId="0" fillId="0" borderId="82" xfId="0" applyNumberFormat="1" applyFill="1" applyBorder="1"/>
    <xf numFmtId="9" fontId="89" fillId="5" borderId="82" xfId="10" applyNumberFormat="1" applyFont="1" applyFill="1" applyBorder="1" applyProtection="1">
      <protection locked="0"/>
    </xf>
    <xf numFmtId="166" fontId="89" fillId="32" borderId="82" xfId="2" applyNumberFormat="1" applyFont="1" applyFill="1" applyBorder="1" applyProtection="1">
      <protection locked="0"/>
    </xf>
    <xf numFmtId="9" fontId="89" fillId="32" borderId="82" xfId="2" applyFont="1" applyFill="1" applyBorder="1" applyProtection="1">
      <protection locked="0"/>
    </xf>
    <xf numFmtId="10" fontId="70" fillId="28" borderId="0" xfId="2" applyNumberFormat="1" applyFont="1" applyFill="1"/>
    <xf numFmtId="10" fontId="72" fillId="11" borderId="58" xfId="0" applyNumberFormat="1" applyFont="1" applyFill="1" applyBorder="1" applyAlignment="1">
      <alignment horizontal="center" wrapText="1"/>
    </xf>
    <xf numFmtId="43" fontId="0" fillId="0" borderId="0" xfId="0" applyNumberFormat="1" applyFont="1" applyFill="1"/>
    <xf numFmtId="43" fontId="70" fillId="0" borderId="0" xfId="0" applyNumberFormat="1" applyFont="1" applyFill="1"/>
    <xf numFmtId="0" fontId="0" fillId="0" borderId="0" xfId="0" applyFont="1" applyFill="1"/>
    <xf numFmtId="0" fontId="50" fillId="0" borderId="82" xfId="18" applyFont="1" applyFill="1" applyBorder="1" applyAlignment="1">
      <alignment wrapText="1"/>
    </xf>
    <xf numFmtId="168" fontId="89" fillId="0" borderId="0" xfId="10" applyNumberFormat="1" applyFont="1" applyFill="1" applyProtection="1">
      <protection locked="0"/>
    </xf>
    <xf numFmtId="0" fontId="41" fillId="32" borderId="100" xfId="0" applyFont="1" applyFill="1" applyBorder="1" applyAlignment="1">
      <alignment horizontal="center" vertical="center" wrapText="1"/>
    </xf>
    <xf numFmtId="176" fontId="88" fillId="0" borderId="82" xfId="10" applyNumberFormat="1" applyFont="1" applyFill="1" applyBorder="1"/>
    <xf numFmtId="0" fontId="107" fillId="0" borderId="100" xfId="0" applyFont="1" applyFill="1" applyBorder="1" applyAlignment="1">
      <alignment horizontal="center" vertical="center" wrapText="1"/>
    </xf>
    <xf numFmtId="0" fontId="41" fillId="0" borderId="100" xfId="0" applyFont="1" applyFill="1" applyBorder="1" applyAlignment="1">
      <alignment horizontal="center" vertical="center" wrapText="1"/>
    </xf>
    <xf numFmtId="170" fontId="89" fillId="32" borderId="82" xfId="10" applyNumberFormat="1" applyFont="1" applyFill="1" applyBorder="1" applyProtection="1">
      <protection locked="0"/>
    </xf>
    <xf numFmtId="167" fontId="99" fillId="32" borderId="82" xfId="11" applyNumberFormat="1" applyFont="1" applyFill="1" applyBorder="1" applyProtection="1">
      <protection locked="0"/>
    </xf>
    <xf numFmtId="43" fontId="41" fillId="32" borderId="82" xfId="13" applyFont="1" applyFill="1" applyBorder="1" applyAlignment="1">
      <alignment horizontal="right" vertical="top" wrapText="1"/>
    </xf>
    <xf numFmtId="0" fontId="10" fillId="16" borderId="0" xfId="0" applyFont="1" applyFill="1" applyBorder="1" applyAlignment="1">
      <alignment horizontal="center" vertical="center" wrapText="1"/>
    </xf>
    <xf numFmtId="9" fontId="70" fillId="0" borderId="0" xfId="0" applyNumberFormat="1" applyFont="1" applyFill="1" applyAlignment="1">
      <alignment horizontal="center" vertical="center"/>
    </xf>
    <xf numFmtId="166" fontId="89" fillId="0" borderId="82" xfId="2" applyNumberFormat="1" applyFont="1" applyFill="1" applyBorder="1" applyProtection="1">
      <protection locked="0"/>
    </xf>
    <xf numFmtId="0" fontId="89" fillId="11" borderId="0" xfId="10" applyFont="1" applyFill="1" applyProtection="1">
      <protection locked="0"/>
    </xf>
    <xf numFmtId="0" fontId="98" fillId="11" borderId="0" xfId="10" applyFont="1" applyFill="1" applyAlignment="1" applyProtection="1">
      <alignment horizontal="center"/>
    </xf>
    <xf numFmtId="0" fontId="98" fillId="11" borderId="82" xfId="10" applyFont="1" applyFill="1" applyBorder="1" applyAlignment="1">
      <alignment horizontal="center"/>
    </xf>
    <xf numFmtId="0" fontId="98" fillId="11" borderId="14" xfId="10" applyFont="1" applyFill="1" applyBorder="1" applyAlignment="1">
      <alignment horizontal="center"/>
    </xf>
    <xf numFmtId="168" fontId="89" fillId="11" borderId="0" xfId="10" applyNumberFormat="1" applyFont="1" applyFill="1" applyProtection="1">
      <protection locked="0"/>
    </xf>
    <xf numFmtId="0" fontId="89" fillId="11" borderId="82" xfId="10" applyFont="1" applyFill="1" applyBorder="1" applyAlignment="1" applyProtection="1">
      <alignment horizontal="center" vertical="center"/>
      <protection locked="0"/>
    </xf>
    <xf numFmtId="168" fontId="89" fillId="11" borderId="82" xfId="10" applyNumberFormat="1" applyFont="1" applyFill="1" applyBorder="1" applyAlignment="1" applyProtection="1">
      <alignment horizontal="center" vertical="center"/>
      <protection locked="0"/>
    </xf>
    <xf numFmtId="170" fontId="89" fillId="11" borderId="82" xfId="10" applyNumberFormat="1" applyFont="1" applyFill="1" applyBorder="1" applyProtection="1">
      <protection locked="0"/>
    </xf>
    <xf numFmtId="0" fontId="89" fillId="11" borderId="82" xfId="10" applyFont="1" applyFill="1" applyBorder="1" applyAlignment="1" applyProtection="1">
      <alignment horizontal="center"/>
      <protection locked="0"/>
    </xf>
    <xf numFmtId="0" fontId="89" fillId="11" borderId="82" xfId="10" applyFont="1" applyFill="1" applyBorder="1" applyAlignment="1" applyProtection="1">
      <alignment horizontal="right"/>
      <protection locked="0"/>
    </xf>
    <xf numFmtId="168" fontId="89" fillId="11" borderId="82" xfId="10" applyNumberFormat="1" applyFont="1" applyFill="1" applyBorder="1" applyAlignment="1" applyProtection="1">
      <alignment horizontal="right"/>
      <protection locked="0"/>
    </xf>
    <xf numFmtId="2" fontId="89" fillId="11" borderId="82" xfId="10" applyNumberFormat="1" applyFont="1" applyFill="1" applyBorder="1" applyProtection="1">
      <protection locked="0"/>
    </xf>
    <xf numFmtId="167" fontId="99" fillId="11" borderId="82" xfId="11" applyNumberFormat="1" applyFont="1" applyFill="1" applyBorder="1" applyProtection="1">
      <protection locked="0"/>
    </xf>
    <xf numFmtId="0" fontId="89" fillId="11" borderId="0" xfId="10" applyFont="1" applyFill="1" applyBorder="1" applyProtection="1">
      <protection locked="0"/>
    </xf>
    <xf numFmtId="170" fontId="89" fillId="11" borderId="0" xfId="10" applyNumberFormat="1" applyFont="1" applyFill="1" applyBorder="1" applyProtection="1">
      <protection locked="0"/>
    </xf>
    <xf numFmtId="0" fontId="95" fillId="0" borderId="97" xfId="10" applyFont="1" applyFill="1" applyBorder="1" applyAlignment="1" applyProtection="1">
      <alignment horizontal="left"/>
      <protection locked="0"/>
    </xf>
    <xf numFmtId="0" fontId="33" fillId="0" borderId="82" xfId="10" applyFont="1" applyFill="1" applyBorder="1" applyAlignment="1">
      <alignment horizontal="center" vertical="center" wrapText="1"/>
    </xf>
    <xf numFmtId="1" fontId="89" fillId="0" borderId="0" xfId="10" applyNumberFormat="1" applyFont="1" applyFill="1" applyProtection="1">
      <protection locked="0"/>
    </xf>
    <xf numFmtId="0" fontId="89" fillId="0" borderId="0" xfId="10" applyFont="1" applyFill="1" applyAlignment="1" applyProtection="1">
      <alignment horizontal="right"/>
      <protection locked="0"/>
    </xf>
    <xf numFmtId="168" fontId="6" fillId="0" borderId="0" xfId="7" applyNumberFormat="1" applyFont="1" applyFill="1" applyBorder="1"/>
    <xf numFmtId="0" fontId="6" fillId="0" borderId="2" xfId="0" applyFont="1" applyBorder="1"/>
    <xf numFmtId="0" fontId="0" fillId="0" borderId="82" xfId="0" applyBorder="1" applyAlignment="1">
      <alignment horizontal="right"/>
    </xf>
    <xf numFmtId="0" fontId="0" fillId="0" borderId="82" xfId="0" applyFill="1" applyBorder="1" applyAlignment="1">
      <alignment horizontal="right"/>
    </xf>
    <xf numFmtId="9" fontId="0" fillId="0" borderId="82" xfId="0" applyNumberFormat="1" applyFill="1" applyBorder="1"/>
    <xf numFmtId="166" fontId="0" fillId="0" borderId="82" xfId="0" applyNumberFormat="1" applyBorder="1"/>
    <xf numFmtId="0" fontId="70" fillId="28" borderId="0" xfId="0" applyNumberFormat="1" applyFont="1" applyFill="1"/>
    <xf numFmtId="43" fontId="89" fillId="0" borderId="0" xfId="10" applyNumberFormat="1" applyFont="1" applyFill="1" applyProtection="1">
      <protection locked="0"/>
    </xf>
    <xf numFmtId="43" fontId="98" fillId="0" borderId="0" xfId="10" applyNumberFormat="1" applyFont="1" applyFill="1" applyAlignment="1" applyProtection="1">
      <alignment horizontal="center"/>
    </xf>
    <xf numFmtId="0" fontId="98" fillId="22" borderId="82" xfId="10" applyFont="1" applyFill="1" applyBorder="1" applyAlignment="1">
      <alignment horizontal="center"/>
    </xf>
    <xf numFmtId="0" fontId="98" fillId="22" borderId="14" xfId="10" applyFont="1" applyFill="1" applyBorder="1" applyAlignment="1">
      <alignment horizontal="center"/>
    </xf>
    <xf numFmtId="168" fontId="89" fillId="22" borderId="0" xfId="10" applyNumberFormat="1" applyFont="1" applyFill="1" applyProtection="1">
      <protection locked="0"/>
    </xf>
    <xf numFmtId="0" fontId="89" fillId="22" borderId="82" xfId="10" applyFont="1" applyFill="1" applyBorder="1" applyAlignment="1" applyProtection="1">
      <alignment horizontal="center" vertical="center"/>
      <protection locked="0"/>
    </xf>
    <xf numFmtId="168" fontId="89" fillId="22" borderId="82" xfId="10" applyNumberFormat="1" applyFont="1" applyFill="1" applyBorder="1" applyAlignment="1" applyProtection="1">
      <alignment horizontal="center" vertical="center"/>
      <protection locked="0"/>
    </xf>
    <xf numFmtId="170" fontId="89" fillId="22" borderId="82" xfId="10" applyNumberFormat="1" applyFont="1" applyFill="1" applyBorder="1" applyProtection="1">
      <protection locked="0"/>
    </xf>
    <xf numFmtId="0" fontId="89" fillId="22" borderId="82" xfId="10" applyFont="1" applyFill="1" applyBorder="1" applyAlignment="1" applyProtection="1">
      <alignment horizontal="center"/>
      <protection locked="0"/>
    </xf>
    <xf numFmtId="0" fontId="89" fillId="22" borderId="82" xfId="10" applyFont="1" applyFill="1" applyBorder="1" applyAlignment="1" applyProtection="1">
      <alignment horizontal="right"/>
      <protection locked="0"/>
    </xf>
    <xf numFmtId="168" fontId="89" fillId="22" borderId="82" xfId="10" applyNumberFormat="1" applyFont="1" applyFill="1" applyBorder="1" applyAlignment="1" applyProtection="1">
      <alignment horizontal="right"/>
      <protection locked="0"/>
    </xf>
    <xf numFmtId="2" fontId="89" fillId="22" borderId="82" xfId="10" applyNumberFormat="1" applyFont="1" applyFill="1" applyBorder="1" applyProtection="1">
      <protection locked="0"/>
    </xf>
    <xf numFmtId="167" fontId="99" fillId="22" borderId="82" xfId="11" applyNumberFormat="1" applyFont="1" applyFill="1" applyBorder="1" applyProtection="1">
      <protection locked="0"/>
    </xf>
    <xf numFmtId="0" fontId="89" fillId="22" borderId="0" xfId="10" applyFont="1" applyFill="1" applyBorder="1" applyProtection="1">
      <protection locked="0"/>
    </xf>
    <xf numFmtId="170" fontId="89" fillId="22" borderId="0" xfId="10" applyNumberFormat="1" applyFont="1" applyFill="1" applyBorder="1" applyProtection="1">
      <protection locked="0"/>
    </xf>
    <xf numFmtId="166" fontId="89" fillId="20" borderId="82" xfId="2" applyNumberFormat="1" applyFont="1" applyFill="1" applyBorder="1" applyProtection="1">
      <protection locked="0"/>
    </xf>
    <xf numFmtId="9" fontId="89" fillId="20" borderId="82" xfId="10" applyNumberFormat="1" applyFont="1" applyFill="1" applyBorder="1" applyProtection="1">
      <protection locked="0"/>
    </xf>
    <xf numFmtId="9" fontId="89" fillId="20" borderId="82" xfId="2" applyFont="1" applyFill="1" applyBorder="1" applyProtection="1">
      <protection locked="0"/>
    </xf>
    <xf numFmtId="3" fontId="33" fillId="0" borderId="82" xfId="0" applyNumberFormat="1" applyFont="1" applyFill="1" applyBorder="1" applyAlignment="1">
      <alignment horizontal="center"/>
    </xf>
    <xf numFmtId="175" fontId="110" fillId="34" borderId="83" xfId="9" applyNumberFormat="1" applyFont="1" applyFill="1" applyBorder="1" applyAlignment="1">
      <alignment horizontal="right" vertical="center" wrapText="1" readingOrder="1"/>
    </xf>
    <xf numFmtId="166" fontId="50" fillId="32" borderId="0" xfId="8" applyNumberFormat="1" applyFont="1" applyFill="1" applyAlignment="1" applyProtection="1">
      <alignment horizontal="center" vertical="center"/>
      <protection locked="0"/>
    </xf>
    <xf numFmtId="43" fontId="7" fillId="32" borderId="0" xfId="0" applyNumberFormat="1" applyFont="1" applyFill="1"/>
    <xf numFmtId="9" fontId="0" fillId="0" borderId="0" xfId="0" applyNumberFormat="1" applyBorder="1"/>
    <xf numFmtId="10" fontId="0" fillId="0" borderId="82" xfId="0" applyNumberFormat="1" applyBorder="1"/>
    <xf numFmtId="9" fontId="0" fillId="4" borderId="82" xfId="0" applyNumberFormat="1" applyFill="1" applyBorder="1"/>
    <xf numFmtId="9" fontId="6" fillId="4" borderId="82" xfId="0" applyNumberFormat="1" applyFont="1" applyFill="1" applyBorder="1"/>
    <xf numFmtId="168" fontId="8" fillId="4" borderId="82" xfId="1" applyNumberFormat="1" applyFont="1" applyFill="1" applyBorder="1"/>
    <xf numFmtId="0" fontId="98" fillId="7" borderId="82" xfId="10" applyFont="1" applyFill="1" applyBorder="1" applyAlignment="1" applyProtection="1">
      <alignment horizontal="center" wrapText="1"/>
    </xf>
    <xf numFmtId="0" fontId="98" fillId="7" borderId="82" xfId="10" applyFont="1" applyFill="1" applyBorder="1" applyAlignment="1" applyProtection="1">
      <alignment horizontal="center"/>
    </xf>
    <xf numFmtId="0" fontId="89" fillId="32" borderId="82" xfId="10" applyFont="1" applyFill="1" applyBorder="1" applyProtection="1">
      <protection locked="0"/>
    </xf>
    <xf numFmtId="166" fontId="99" fillId="32" borderId="82" xfId="11" applyNumberFormat="1" applyFont="1" applyFill="1" applyBorder="1" applyAlignment="1" applyProtection="1">
      <alignment vertical="center"/>
      <protection locked="0"/>
    </xf>
    <xf numFmtId="166" fontId="0" fillId="32" borderId="82" xfId="20" applyNumberFormat="1" applyFont="1" applyFill="1" applyBorder="1" applyAlignment="1" applyProtection="1">
      <alignment vertical="center"/>
      <protection locked="0"/>
    </xf>
    <xf numFmtId="10" fontId="111" fillId="32" borderId="82" xfId="19" applyNumberFormat="1" applyFont="1" applyFill="1" applyBorder="1" applyAlignment="1" applyProtection="1">
      <alignment horizontal="center" vertical="center"/>
    </xf>
    <xf numFmtId="166" fontId="0" fillId="32" borderId="0" xfId="19" applyNumberFormat="1" applyFont="1" applyFill="1" applyProtection="1">
      <protection locked="0"/>
    </xf>
    <xf numFmtId="166" fontId="99" fillId="0" borderId="82" xfId="2" applyNumberFormat="1" applyFont="1" applyFill="1" applyBorder="1" applyProtection="1">
      <protection locked="0"/>
    </xf>
    <xf numFmtId="166" fontId="98" fillId="0" borderId="82" xfId="2" applyNumberFormat="1" applyFont="1" applyFill="1" applyBorder="1" applyAlignment="1" applyProtection="1">
      <alignment horizontal="center" vertical="center"/>
    </xf>
    <xf numFmtId="166" fontId="99" fillId="32" borderId="82" xfId="2" applyNumberFormat="1" applyFont="1" applyFill="1" applyBorder="1" applyAlignment="1" applyProtection="1">
      <alignment vertical="center"/>
      <protection locked="0"/>
    </xf>
    <xf numFmtId="10" fontId="99" fillId="0" borderId="82" xfId="2" applyNumberFormat="1" applyFont="1" applyFill="1" applyBorder="1" applyProtection="1">
      <protection locked="0"/>
    </xf>
    <xf numFmtId="10" fontId="98" fillId="32" borderId="82" xfId="2" applyNumberFormat="1" applyFont="1" applyFill="1" applyBorder="1" applyAlignment="1" applyProtection="1">
      <alignment horizontal="center" vertical="center"/>
    </xf>
    <xf numFmtId="10" fontId="89" fillId="0" borderId="82" xfId="2" applyNumberFormat="1" applyFont="1" applyFill="1" applyBorder="1" applyProtection="1">
      <protection locked="0"/>
    </xf>
    <xf numFmtId="10" fontId="89" fillId="32" borderId="82" xfId="2" applyNumberFormat="1" applyFont="1" applyFill="1" applyBorder="1" applyProtection="1">
      <protection locked="0"/>
    </xf>
    <xf numFmtId="10" fontId="99" fillId="32" borderId="82" xfId="2" applyNumberFormat="1" applyFont="1" applyFill="1" applyBorder="1" applyAlignment="1" applyProtection="1">
      <alignment vertical="center"/>
      <protection locked="0"/>
    </xf>
    <xf numFmtId="168" fontId="89" fillId="5" borderId="82" xfId="10" applyNumberFormat="1" applyFont="1" applyFill="1" applyBorder="1" applyAlignment="1" applyProtection="1">
      <alignment horizontal="center" vertical="center"/>
      <protection locked="0"/>
    </xf>
    <xf numFmtId="2" fontId="98" fillId="5" borderId="82" xfId="10" applyNumberFormat="1" applyFont="1" applyFill="1" applyBorder="1" applyAlignment="1" applyProtection="1">
      <alignment horizontal="center"/>
    </xf>
    <xf numFmtId="170" fontId="89" fillId="5" borderId="82" xfId="10" applyNumberFormat="1" applyFont="1" applyFill="1" applyBorder="1" applyProtection="1">
      <protection locked="0"/>
    </xf>
    <xf numFmtId="4" fontId="98" fillId="0" borderId="82" xfId="10" applyNumberFormat="1" applyFont="1" applyFill="1" applyBorder="1" applyAlignment="1" applyProtection="1">
      <alignment horizontal="center"/>
    </xf>
    <xf numFmtId="0" fontId="89" fillId="32" borderId="0" xfId="10" applyFont="1" applyFill="1" applyAlignment="1" applyProtection="1">
      <alignment horizontal="right"/>
      <protection locked="0"/>
    </xf>
    <xf numFmtId="1" fontId="89" fillId="32" borderId="0" xfId="10" applyNumberFormat="1" applyFont="1" applyFill="1" applyProtection="1">
      <protection locked="0"/>
    </xf>
    <xf numFmtId="3" fontId="89" fillId="32" borderId="0" xfId="10" applyNumberFormat="1" applyFont="1" applyFill="1" applyProtection="1">
      <protection locked="0"/>
    </xf>
    <xf numFmtId="0" fontId="89" fillId="32" borderId="0" xfId="10" applyFont="1" applyFill="1" applyProtection="1">
      <protection locked="0"/>
    </xf>
    <xf numFmtId="168" fontId="89" fillId="20" borderId="82" xfId="10" applyNumberFormat="1" applyFont="1" applyFill="1" applyBorder="1" applyAlignment="1" applyProtection="1">
      <alignment horizontal="center" vertical="center"/>
      <protection locked="0"/>
    </xf>
    <xf numFmtId="2" fontId="98" fillId="20" borderId="82" xfId="10" applyNumberFormat="1" applyFont="1" applyFill="1" applyBorder="1" applyAlignment="1" applyProtection="1">
      <alignment horizontal="center"/>
    </xf>
    <xf numFmtId="2" fontId="98" fillId="7" borderId="82" xfId="10" applyNumberFormat="1" applyFont="1" applyFill="1" applyBorder="1" applyAlignment="1" applyProtection="1">
      <alignment horizontal="center"/>
    </xf>
    <xf numFmtId="43" fontId="41" fillId="4" borderId="82" xfId="13" applyFont="1" applyFill="1" applyBorder="1" applyAlignment="1">
      <alignment horizontal="right" vertical="top" wrapText="1"/>
    </xf>
    <xf numFmtId="0" fontId="93" fillId="5" borderId="82" xfId="10" applyFont="1" applyFill="1" applyBorder="1" applyAlignment="1">
      <alignment horizontal="center" vertical="center" wrapText="1"/>
    </xf>
    <xf numFmtId="0" fontId="88" fillId="5" borderId="82" xfId="10" applyFont="1" applyFill="1" applyBorder="1"/>
    <xf numFmtId="10" fontId="41" fillId="5" borderId="86" xfId="19" applyNumberFormat="1" applyFont="1" applyFill="1" applyBorder="1" applyAlignment="1">
      <alignment horizontal="right" vertical="top" wrapText="1"/>
    </xf>
    <xf numFmtId="168" fontId="89" fillId="0" borderId="82" xfId="10" applyNumberFormat="1" applyFont="1" applyFill="1" applyBorder="1" applyProtection="1">
      <protection locked="0"/>
    </xf>
    <xf numFmtId="10" fontId="41" fillId="32" borderId="82" xfId="19" applyNumberFormat="1" applyFont="1" applyFill="1" applyBorder="1" applyAlignment="1">
      <alignment horizontal="right" vertical="top" wrapText="1"/>
    </xf>
    <xf numFmtId="177" fontId="89" fillId="0" borderId="0" xfId="10" applyNumberFormat="1" applyFont="1" applyFill="1" applyProtection="1">
      <protection locked="0"/>
    </xf>
    <xf numFmtId="4" fontId="89" fillId="0" borderId="82" xfId="10" applyNumberFormat="1" applyFont="1" applyFill="1" applyBorder="1" applyProtection="1">
      <protection locked="0"/>
    </xf>
    <xf numFmtId="43" fontId="25" fillId="0" borderId="0" xfId="0" applyNumberFormat="1" applyFont="1" applyBorder="1" applyAlignment="1">
      <alignment horizontal="left" vertical="center" wrapText="1"/>
    </xf>
    <xf numFmtId="43" fontId="21" fillId="0" borderId="0" xfId="0" applyNumberFormat="1" applyFont="1" applyBorder="1" applyAlignment="1">
      <alignment horizontal="left" vertical="center" wrapText="1"/>
    </xf>
    <xf numFmtId="10" fontId="0" fillId="0" borderId="0" xfId="2" applyNumberFormat="1" applyFont="1" applyFill="1"/>
    <xf numFmtId="10" fontId="25" fillId="0" borderId="0" xfId="2" applyNumberFormat="1" applyFont="1" applyBorder="1" applyAlignment="1">
      <alignment horizontal="left" vertical="center" wrapText="1"/>
    </xf>
    <xf numFmtId="0" fontId="112" fillId="0" borderId="61" xfId="0" applyFont="1" applyBorder="1" applyAlignment="1">
      <alignment horizontal="center" vertical="center" wrapText="1"/>
    </xf>
    <xf numFmtId="0" fontId="112" fillId="0" borderId="82" xfId="0" applyFont="1" applyBorder="1" applyAlignment="1">
      <alignment horizontal="center" vertical="center" wrapText="1"/>
    </xf>
    <xf numFmtId="0" fontId="112" fillId="0" borderId="66" xfId="0" applyFont="1" applyBorder="1" applyAlignment="1">
      <alignment horizontal="center" vertical="center" wrapText="1"/>
    </xf>
    <xf numFmtId="3" fontId="114" fillId="0" borderId="82" xfId="0" applyNumberFormat="1" applyFont="1" applyBorder="1" applyAlignment="1">
      <alignment horizontal="center" vertical="center" wrapText="1"/>
    </xf>
    <xf numFmtId="10" fontId="114" fillId="0" borderId="82" xfId="0" applyNumberFormat="1" applyFont="1" applyBorder="1" applyAlignment="1">
      <alignment horizontal="center" vertical="center" wrapText="1"/>
    </xf>
    <xf numFmtId="4" fontId="0" fillId="0" borderId="82" xfId="0" applyNumberFormat="1" applyBorder="1"/>
    <xf numFmtId="0" fontId="112" fillId="0" borderId="82" xfId="0" applyFont="1" applyFill="1" applyBorder="1" applyAlignment="1">
      <alignment horizontal="center" vertical="center" wrapText="1"/>
    </xf>
    <xf numFmtId="3" fontId="114" fillId="0" borderId="82" xfId="0" applyNumberFormat="1" applyFont="1" applyFill="1" applyBorder="1" applyAlignment="1">
      <alignment horizontal="center" vertical="center" wrapText="1"/>
    </xf>
    <xf numFmtId="10" fontId="114" fillId="0" borderId="82" xfId="0" applyNumberFormat="1" applyFont="1" applyFill="1" applyBorder="1" applyAlignment="1">
      <alignment horizontal="center" vertical="center" wrapText="1"/>
    </xf>
    <xf numFmtId="10" fontId="19" fillId="0" borderId="82" xfId="2" applyNumberFormat="1" applyFont="1" applyFill="1" applyBorder="1"/>
    <xf numFmtId="0" fontId="6" fillId="3" borderId="0" xfId="0" applyFont="1" applyFill="1" applyAlignment="1">
      <alignment wrapText="1"/>
    </xf>
    <xf numFmtId="10" fontId="6" fillId="0" borderId="0" xfId="8" applyNumberFormat="1" applyFont="1" applyFill="1"/>
    <xf numFmtId="10" fontId="6" fillId="7" borderId="0" xfId="0" applyNumberFormat="1" applyFont="1" applyFill="1"/>
    <xf numFmtId="0" fontId="6" fillId="4" borderId="82" xfId="0" applyFont="1" applyFill="1" applyBorder="1"/>
    <xf numFmtId="10" fontId="6" fillId="0" borderId="82" xfId="0" applyNumberFormat="1" applyFont="1" applyFill="1" applyBorder="1"/>
    <xf numFmtId="10" fontId="1" fillId="0" borderId="0" xfId="0" applyNumberFormat="1" applyFont="1" applyFill="1"/>
    <xf numFmtId="168" fontId="89" fillId="32" borderId="0" xfId="1" applyNumberFormat="1" applyFont="1" applyFill="1" applyProtection="1">
      <protection locked="0"/>
    </xf>
    <xf numFmtId="0" fontId="115" fillId="0" borderId="104" xfId="0" applyFont="1" applyBorder="1" applyAlignment="1">
      <alignment horizontal="justify" vertical="center" wrapText="1"/>
    </xf>
    <xf numFmtId="0" fontId="115" fillId="0" borderId="105" xfId="0" applyFont="1" applyBorder="1" applyAlignment="1">
      <alignment horizontal="justify" vertical="center" wrapText="1"/>
    </xf>
    <xf numFmtId="0" fontId="115" fillId="0" borderId="106" xfId="0" applyFont="1" applyBorder="1" applyAlignment="1">
      <alignment horizontal="justify" vertical="center" wrapText="1"/>
    </xf>
    <xf numFmtId="0" fontId="115" fillId="0" borderId="107" xfId="0" applyFont="1" applyBorder="1" applyAlignment="1">
      <alignment horizontal="justify" vertical="center" wrapText="1"/>
    </xf>
    <xf numFmtId="0" fontId="33" fillId="0" borderId="70" xfId="0" applyFont="1" applyBorder="1" applyAlignment="1">
      <alignment horizontal="center" vertical="center" wrapText="1"/>
    </xf>
    <xf numFmtId="0" fontId="33" fillId="0" borderId="71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left" vertical="center" wrapText="1"/>
    </xf>
    <xf numFmtId="0" fontId="33" fillId="0" borderId="72" xfId="0" applyFont="1" applyBorder="1" applyAlignment="1">
      <alignment horizontal="left" vertical="center" wrapText="1"/>
    </xf>
    <xf numFmtId="0" fontId="33" fillId="0" borderId="74" xfId="0" applyFont="1" applyBorder="1" applyAlignment="1">
      <alignment horizontal="left" vertical="center" wrapText="1"/>
    </xf>
    <xf numFmtId="175" fontId="117" fillId="35" borderId="83" xfId="9" applyNumberFormat="1" applyFont="1" applyFill="1" applyBorder="1" applyAlignment="1">
      <alignment horizontal="right" vertical="center" wrapText="1" readingOrder="1"/>
    </xf>
    <xf numFmtId="3" fontId="114" fillId="32" borderId="82" xfId="0" applyNumberFormat="1" applyFont="1" applyFill="1" applyBorder="1" applyAlignment="1">
      <alignment horizontal="center" vertical="center" wrapText="1"/>
    </xf>
    <xf numFmtId="3" fontId="28" fillId="32" borderId="37" xfId="0" applyNumberFormat="1" applyFont="1" applyFill="1" applyBorder="1" applyAlignment="1">
      <alignment horizontal="center" vertical="center" wrapText="1"/>
    </xf>
    <xf numFmtId="3" fontId="28" fillId="32" borderId="73" xfId="0" applyNumberFormat="1" applyFont="1" applyFill="1" applyBorder="1" applyAlignment="1">
      <alignment horizontal="center" vertical="center" wrapText="1"/>
    </xf>
    <xf numFmtId="10" fontId="114" fillId="32" borderId="82" xfId="0" applyNumberFormat="1" applyFont="1" applyFill="1" applyBorder="1" applyAlignment="1">
      <alignment horizontal="center" vertical="center" wrapText="1"/>
    </xf>
    <xf numFmtId="10" fontId="114" fillId="32" borderId="66" xfId="0" applyNumberFormat="1" applyFont="1" applyFill="1" applyBorder="1" applyAlignment="1">
      <alignment horizontal="center" vertical="center" wrapText="1"/>
    </xf>
    <xf numFmtId="0" fontId="28" fillId="32" borderId="37" xfId="0" applyFont="1" applyFill="1" applyBorder="1" applyAlignment="1">
      <alignment horizontal="center" vertical="center" wrapText="1"/>
    </xf>
    <xf numFmtId="0" fontId="28" fillId="32" borderId="73" xfId="0" applyFont="1" applyFill="1" applyBorder="1" applyAlignment="1">
      <alignment horizontal="center" vertical="center" wrapText="1"/>
    </xf>
    <xf numFmtId="3" fontId="33" fillId="32" borderId="37" xfId="0" applyNumberFormat="1" applyFont="1" applyFill="1" applyBorder="1" applyAlignment="1">
      <alignment horizontal="center" vertical="center" wrapText="1"/>
    </xf>
    <xf numFmtId="10" fontId="33" fillId="32" borderId="75" xfId="0" applyNumberFormat="1" applyFont="1" applyFill="1" applyBorder="1" applyAlignment="1">
      <alignment horizontal="center" vertical="center" wrapText="1"/>
    </xf>
    <xf numFmtId="10" fontId="33" fillId="32" borderId="79" xfId="0" applyNumberFormat="1" applyFont="1" applyFill="1" applyBorder="1" applyAlignment="1">
      <alignment horizontal="center" vertical="center" wrapText="1"/>
    </xf>
    <xf numFmtId="43" fontId="41" fillId="3" borderId="82" xfId="13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wrapText="1"/>
    </xf>
    <xf numFmtId="9" fontId="9" fillId="0" borderId="14" xfId="0" applyNumberFormat="1" applyFont="1" applyBorder="1" applyAlignment="1">
      <alignment horizontal="center"/>
    </xf>
    <xf numFmtId="9" fontId="9" fillId="0" borderId="2" xfId="0" applyNumberFormat="1" applyFont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15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21" xfId="0" applyFont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0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0" fontId="10" fillId="0" borderId="19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6" fontId="9" fillId="4" borderId="14" xfId="0" applyNumberFormat="1" applyFont="1" applyFill="1" applyBorder="1" applyAlignment="1">
      <alignment horizontal="center"/>
    </xf>
    <xf numFmtId="166" fontId="9" fillId="4" borderId="2" xfId="0" applyNumberFormat="1" applyFont="1" applyFill="1" applyBorder="1" applyAlignment="1">
      <alignment horizontal="center"/>
    </xf>
    <xf numFmtId="10" fontId="9" fillId="0" borderId="1" xfId="0" applyNumberFormat="1" applyFont="1" applyFill="1" applyBorder="1" applyAlignment="1">
      <alignment horizontal="center"/>
    </xf>
    <xf numFmtId="1" fontId="9" fillId="9" borderId="43" xfId="0" applyNumberFormat="1" applyFont="1" applyFill="1" applyBorder="1" applyAlignment="1">
      <alignment horizontal="center" vertical="center"/>
    </xf>
    <xf numFmtId="1" fontId="9" fillId="9" borderId="44" xfId="0" applyNumberFormat="1" applyFont="1" applyFill="1" applyBorder="1" applyAlignment="1">
      <alignment horizontal="center" vertical="center"/>
    </xf>
    <xf numFmtId="10" fontId="0" fillId="0" borderId="14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0" fillId="0" borderId="17" xfId="0" applyFont="1" applyFill="1" applyBorder="1" applyAlignment="1">
      <alignment horizontal="center" wrapText="1"/>
    </xf>
    <xf numFmtId="0" fontId="10" fillId="0" borderId="18" xfId="0" applyFont="1" applyFill="1" applyBorder="1" applyAlignment="1">
      <alignment horizontal="center" wrapText="1"/>
    </xf>
    <xf numFmtId="0" fontId="10" fillId="0" borderId="47" xfId="0" applyFont="1" applyFill="1" applyBorder="1" applyAlignment="1">
      <alignment horizontal="center" wrapText="1"/>
    </xf>
    <xf numFmtId="0" fontId="10" fillId="0" borderId="48" xfId="0" applyFont="1" applyFill="1" applyBorder="1" applyAlignment="1">
      <alignment horizontal="center" wrapText="1"/>
    </xf>
    <xf numFmtId="0" fontId="10" fillId="0" borderId="43" xfId="0" applyFont="1" applyFill="1" applyBorder="1" applyAlignment="1">
      <alignment horizontal="center" wrapText="1"/>
    </xf>
    <xf numFmtId="0" fontId="10" fillId="0" borderId="46" xfId="0" applyFont="1" applyFill="1" applyBorder="1" applyAlignment="1">
      <alignment horizontal="center" wrapText="1"/>
    </xf>
    <xf numFmtId="10" fontId="9" fillId="0" borderId="14" xfId="0" applyNumberFormat="1" applyFont="1" applyFill="1" applyBorder="1" applyAlignment="1">
      <alignment horizontal="center"/>
    </xf>
    <xf numFmtId="10" fontId="9" fillId="0" borderId="2" xfId="0" applyNumberFormat="1" applyFont="1" applyFill="1" applyBorder="1" applyAlignment="1">
      <alignment horizontal="center"/>
    </xf>
    <xf numFmtId="10" fontId="0" fillId="0" borderId="2" xfId="0" applyNumberForma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9" fontId="9" fillId="0" borderId="0" xfId="0" applyNumberFormat="1" applyFont="1" applyFill="1" applyBorder="1" applyAlignment="1">
      <alignment horizontal="center"/>
    </xf>
    <xf numFmtId="166" fontId="9" fillId="0" borderId="0" xfId="0" applyNumberFormat="1" applyFont="1" applyFill="1" applyBorder="1" applyAlignment="1">
      <alignment horizontal="center"/>
    </xf>
    <xf numFmtId="0" fontId="25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 wrapText="1"/>
    </xf>
    <xf numFmtId="168" fontId="7" fillId="0" borderId="17" xfId="1" applyNumberFormat="1" applyFont="1" applyFill="1" applyBorder="1" applyAlignment="1">
      <alignment horizontal="center" vertical="center"/>
    </xf>
    <xf numFmtId="168" fontId="7" fillId="0" borderId="23" xfId="1" applyNumberFormat="1" applyFont="1" applyFill="1" applyBorder="1" applyAlignment="1">
      <alignment horizontal="center" vertical="center"/>
    </xf>
    <xf numFmtId="168" fontId="7" fillId="0" borderId="18" xfId="1" applyNumberFormat="1" applyFont="1" applyFill="1" applyBorder="1" applyAlignment="1">
      <alignment horizontal="center" vertical="center"/>
    </xf>
    <xf numFmtId="1" fontId="9" fillId="0" borderId="58" xfId="0" applyNumberFormat="1" applyFont="1" applyFill="1" applyBorder="1" applyAlignment="1">
      <alignment horizontal="center" vertical="center"/>
    </xf>
    <xf numFmtId="0" fontId="10" fillId="20" borderId="81" xfId="0" applyFont="1" applyFill="1" applyBorder="1" applyAlignment="1">
      <alignment horizontal="center" vertical="center" wrapText="1"/>
    </xf>
    <xf numFmtId="0" fontId="10" fillId="20" borderId="20" xfId="0" applyFont="1" applyFill="1" applyBorder="1" applyAlignment="1">
      <alignment horizontal="center" vertical="center" wrapText="1"/>
    </xf>
    <xf numFmtId="164" fontId="9" fillId="0" borderId="58" xfId="0" applyNumberFormat="1" applyFont="1" applyFill="1" applyBorder="1" applyAlignment="1">
      <alignment horizontal="center" vertical="center"/>
    </xf>
    <xf numFmtId="168" fontId="7" fillId="4" borderId="58" xfId="1" applyNumberFormat="1" applyFont="1" applyFill="1" applyBorder="1" applyAlignment="1">
      <alignment horizontal="center" vertical="center"/>
    </xf>
    <xf numFmtId="2" fontId="9" fillId="0" borderId="58" xfId="0" applyNumberFormat="1" applyFont="1" applyFill="1" applyBorder="1" applyAlignment="1">
      <alignment horizontal="center" vertical="center"/>
    </xf>
    <xf numFmtId="1" fontId="9" fillId="11" borderId="58" xfId="0" applyNumberFormat="1" applyFont="1" applyFill="1" applyBorder="1" applyAlignment="1">
      <alignment horizontal="center" vertical="center"/>
    </xf>
    <xf numFmtId="0" fontId="6" fillId="0" borderId="81" xfId="0" applyFont="1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43" fontId="7" fillId="4" borderId="58" xfId="1" applyFont="1" applyFill="1" applyBorder="1" applyAlignment="1">
      <alignment horizontal="center" vertical="center"/>
    </xf>
    <xf numFmtId="0" fontId="69" fillId="8" borderId="0" xfId="0" applyFont="1" applyFill="1" applyAlignment="1">
      <alignment horizontal="center"/>
    </xf>
    <xf numFmtId="0" fontId="69" fillId="32" borderId="0" xfId="0" applyFont="1" applyFill="1" applyAlignment="1">
      <alignment horizontal="center"/>
    </xf>
    <xf numFmtId="0" fontId="76" fillId="20" borderId="43" xfId="0" applyFont="1" applyFill="1" applyBorder="1" applyAlignment="1">
      <alignment horizontal="center" vertical="center" wrapText="1"/>
    </xf>
    <xf numFmtId="0" fontId="76" fillId="20" borderId="20" xfId="0" applyFont="1" applyFill="1" applyBorder="1" applyAlignment="1">
      <alignment horizontal="center" vertical="center" wrapText="1"/>
    </xf>
    <xf numFmtId="1" fontId="72" fillId="0" borderId="68" xfId="0" applyNumberFormat="1" applyFont="1" applyFill="1" applyBorder="1" applyAlignment="1">
      <alignment horizontal="center" vertical="center"/>
    </xf>
    <xf numFmtId="1" fontId="72" fillId="0" borderId="18" xfId="0" applyNumberFormat="1" applyFont="1" applyFill="1" applyBorder="1" applyAlignment="1">
      <alignment horizontal="center" vertical="center"/>
    </xf>
    <xf numFmtId="1" fontId="71" fillId="29" borderId="68" xfId="0" applyNumberFormat="1" applyFont="1" applyFill="1" applyBorder="1" applyAlignment="1">
      <alignment horizontal="center" vertical="center"/>
    </xf>
    <xf numFmtId="1" fontId="71" fillId="29" borderId="18" xfId="0" applyNumberFormat="1" applyFont="1" applyFill="1" applyBorder="1" applyAlignment="1">
      <alignment horizontal="center" vertical="center"/>
    </xf>
    <xf numFmtId="0" fontId="82" fillId="0" borderId="0" xfId="0" applyFont="1" applyBorder="1" applyAlignment="1">
      <alignment vertical="center" wrapText="1"/>
    </xf>
    <xf numFmtId="0" fontId="81" fillId="0" borderId="0" xfId="0" applyFont="1" applyBorder="1" applyAlignment="1">
      <alignment horizontal="center" vertical="center" wrapText="1"/>
    </xf>
    <xf numFmtId="0" fontId="69" fillId="11" borderId="0" xfId="0" applyFont="1" applyFill="1" applyAlignment="1">
      <alignment horizontal="center"/>
    </xf>
    <xf numFmtId="168" fontId="70" fillId="0" borderId="0" xfId="1" applyNumberFormat="1" applyFont="1" applyFill="1" applyBorder="1" applyAlignment="1">
      <alignment horizontal="center"/>
    </xf>
    <xf numFmtId="1" fontId="72" fillId="29" borderId="68" xfId="0" applyNumberFormat="1" applyFont="1" applyFill="1" applyBorder="1" applyAlignment="1">
      <alignment horizontal="center" vertical="center"/>
    </xf>
    <xf numFmtId="1" fontId="72" fillId="29" borderId="18" xfId="0" applyNumberFormat="1" applyFont="1" applyFill="1" applyBorder="1" applyAlignment="1">
      <alignment horizontal="center" vertical="center"/>
    </xf>
    <xf numFmtId="0" fontId="67" fillId="0" borderId="0" xfId="0" applyFont="1" applyBorder="1" applyAlignment="1">
      <alignment vertical="center" wrapText="1"/>
    </xf>
    <xf numFmtId="0" fontId="62" fillId="0" borderId="82" xfId="0" applyFont="1" applyFill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1" fontId="58" fillId="0" borderId="68" xfId="0" applyNumberFormat="1" applyFont="1" applyFill="1" applyBorder="1" applyAlignment="1">
      <alignment horizontal="center" vertical="center"/>
    </xf>
    <xf numFmtId="1" fontId="58" fillId="0" borderId="18" xfId="0" applyNumberFormat="1" applyFont="1" applyFill="1" applyBorder="1" applyAlignment="1">
      <alignment horizontal="center" vertical="center"/>
    </xf>
    <xf numFmtId="1" fontId="58" fillId="4" borderId="68" xfId="0" applyNumberFormat="1" applyFont="1" applyFill="1" applyBorder="1" applyAlignment="1">
      <alignment horizontal="center" vertical="center"/>
    </xf>
    <xf numFmtId="1" fontId="58" fillId="4" borderId="18" xfId="0" applyNumberFormat="1" applyFont="1" applyFill="1" applyBorder="1" applyAlignment="1">
      <alignment horizontal="center" vertical="center"/>
    </xf>
    <xf numFmtId="0" fontId="55" fillId="11" borderId="0" xfId="0" applyFont="1" applyFill="1" applyAlignment="1">
      <alignment horizontal="center"/>
    </xf>
    <xf numFmtId="0" fontId="61" fillId="20" borderId="43" xfId="0" applyFont="1" applyFill="1" applyBorder="1" applyAlignment="1">
      <alignment horizontal="center" vertical="center" wrapText="1"/>
    </xf>
    <xf numFmtId="0" fontId="61" fillId="20" borderId="20" xfId="0" applyFont="1" applyFill="1" applyBorder="1" applyAlignment="1">
      <alignment horizontal="center" vertical="center" wrapText="1"/>
    </xf>
    <xf numFmtId="1" fontId="57" fillId="4" borderId="68" xfId="0" applyNumberFormat="1" applyFont="1" applyFill="1" applyBorder="1" applyAlignment="1">
      <alignment horizontal="center" vertical="center"/>
    </xf>
    <xf numFmtId="1" fontId="57" fillId="4" borderId="18" xfId="0" applyNumberFormat="1" applyFont="1" applyFill="1" applyBorder="1" applyAlignment="1">
      <alignment horizontal="center" vertical="center"/>
    </xf>
    <xf numFmtId="1" fontId="58" fillId="19" borderId="68" xfId="0" applyNumberFormat="1" applyFont="1" applyFill="1" applyBorder="1" applyAlignment="1">
      <alignment horizontal="center" vertical="center"/>
    </xf>
    <xf numFmtId="1" fontId="58" fillId="19" borderId="18" xfId="0" applyNumberFormat="1" applyFont="1" applyFill="1" applyBorder="1" applyAlignment="1">
      <alignment horizontal="center" vertical="center"/>
    </xf>
    <xf numFmtId="1" fontId="57" fillId="19" borderId="68" xfId="0" applyNumberFormat="1" applyFont="1" applyFill="1" applyBorder="1" applyAlignment="1">
      <alignment horizontal="center" vertical="center"/>
    </xf>
    <xf numFmtId="1" fontId="57" fillId="19" borderId="18" xfId="0" applyNumberFormat="1" applyFont="1" applyFill="1" applyBorder="1" applyAlignment="1">
      <alignment horizontal="center" vertical="center"/>
    </xf>
    <xf numFmtId="0" fontId="55" fillId="33" borderId="0" xfId="0" applyFont="1" applyFill="1" applyAlignment="1">
      <alignment horizontal="center"/>
    </xf>
    <xf numFmtId="0" fontId="55" fillId="20" borderId="0" xfId="0" applyFont="1" applyFill="1" applyAlignment="1">
      <alignment horizontal="center"/>
    </xf>
    <xf numFmtId="2" fontId="89" fillId="0" borderId="68" xfId="10" applyNumberFormat="1" applyFont="1" applyFill="1" applyBorder="1" applyAlignment="1" applyProtection="1">
      <alignment horizontal="center" vertical="center"/>
      <protection locked="0"/>
    </xf>
    <xf numFmtId="2" fontId="89" fillId="0" borderId="23" xfId="10" applyNumberFormat="1" applyFont="1" applyFill="1" applyBorder="1" applyAlignment="1" applyProtection="1">
      <alignment horizontal="center" vertical="center"/>
      <protection locked="0"/>
    </xf>
    <xf numFmtId="2" fontId="89" fillId="0" borderId="18" xfId="10" applyNumberFormat="1" applyFont="1" applyFill="1" applyBorder="1" applyAlignment="1" applyProtection="1">
      <alignment horizontal="center" vertical="center"/>
      <protection locked="0"/>
    </xf>
    <xf numFmtId="0" fontId="95" fillId="0" borderId="97" xfId="10" applyFont="1" applyFill="1" applyBorder="1" applyAlignment="1" applyProtection="1">
      <alignment horizontal="left"/>
      <protection locked="0"/>
    </xf>
    <xf numFmtId="0" fontId="98" fillId="31" borderId="82" xfId="10" applyFont="1" applyFill="1" applyBorder="1" applyAlignment="1" applyProtection="1">
      <alignment horizontal="center"/>
      <protection locked="0"/>
    </xf>
    <xf numFmtId="0" fontId="98" fillId="31" borderId="82" xfId="10" applyFont="1" applyFill="1" applyBorder="1" applyAlignment="1" applyProtection="1">
      <alignment horizontal="center" vertical="center"/>
    </xf>
    <xf numFmtId="0" fontId="98" fillId="31" borderId="68" xfId="10" applyFont="1" applyFill="1" applyBorder="1" applyAlignment="1" applyProtection="1">
      <alignment horizontal="center" vertical="center" wrapText="1"/>
    </xf>
    <xf numFmtId="0" fontId="98" fillId="31" borderId="18" xfId="10" applyFont="1" applyFill="1" applyBorder="1" applyAlignment="1" applyProtection="1">
      <alignment horizontal="center" vertical="center" wrapText="1"/>
    </xf>
    <xf numFmtId="0" fontId="98" fillId="31" borderId="82" xfId="10" applyFont="1" applyFill="1" applyBorder="1" applyAlignment="1" applyProtection="1">
      <alignment horizontal="center" vertical="center" wrapText="1"/>
    </xf>
    <xf numFmtId="0" fontId="109" fillId="32" borderId="0" xfId="10" applyFont="1" applyFill="1" applyAlignment="1" applyProtection="1">
      <alignment horizontal="left"/>
      <protection locked="0"/>
    </xf>
    <xf numFmtId="0" fontId="89" fillId="21" borderId="0" xfId="10" applyFont="1" applyFill="1" applyAlignment="1" applyProtection="1">
      <alignment horizontal="center"/>
      <protection locked="0"/>
    </xf>
    <xf numFmtId="0" fontId="98" fillId="31" borderId="82" xfId="10" applyFont="1" applyFill="1" applyBorder="1" applyAlignment="1" applyProtection="1">
      <alignment horizontal="center" vertical="center" wrapText="1"/>
      <protection locked="0"/>
    </xf>
    <xf numFmtId="0" fontId="100" fillId="8" borderId="0" xfId="10" applyFont="1" applyFill="1" applyAlignment="1" applyProtection="1">
      <alignment horizontal="center"/>
      <protection locked="0"/>
    </xf>
    <xf numFmtId="0" fontId="98" fillId="31" borderId="14" xfId="10" applyFont="1" applyFill="1" applyBorder="1" applyAlignment="1" applyProtection="1">
      <alignment horizontal="center"/>
      <protection locked="0"/>
    </xf>
    <xf numFmtId="0" fontId="98" fillId="31" borderId="26" xfId="10" applyFont="1" applyFill="1" applyBorder="1" applyAlignment="1" applyProtection="1">
      <alignment horizontal="center"/>
      <protection locked="0"/>
    </xf>
    <xf numFmtId="0" fontId="98" fillId="31" borderId="2" xfId="10" applyFont="1" applyFill="1" applyBorder="1" applyAlignment="1" applyProtection="1">
      <alignment horizontal="center"/>
      <protection locked="0"/>
    </xf>
    <xf numFmtId="0" fontId="33" fillId="0" borderId="82" xfId="10" applyFont="1" applyFill="1" applyBorder="1" applyAlignment="1">
      <alignment horizontal="center" vertical="center" wrapText="1"/>
    </xf>
    <xf numFmtId="0" fontId="100" fillId="32" borderId="0" xfId="10" applyFont="1" applyFill="1" applyAlignment="1" applyProtection="1">
      <alignment horizontal="center"/>
      <protection locked="0"/>
    </xf>
    <xf numFmtId="0" fontId="98" fillId="11" borderId="68" xfId="10" applyFont="1" applyFill="1" applyBorder="1" applyAlignment="1" applyProtection="1">
      <alignment horizontal="center" vertical="center" wrapText="1"/>
    </xf>
    <xf numFmtId="0" fontId="98" fillId="11" borderId="18" xfId="10" applyFont="1" applyFill="1" applyBorder="1" applyAlignment="1" applyProtection="1">
      <alignment horizontal="center" vertical="center" wrapText="1"/>
    </xf>
    <xf numFmtId="0" fontId="98" fillId="11" borderId="82" xfId="10" applyFont="1" applyFill="1" applyBorder="1" applyAlignment="1" applyProtection="1">
      <alignment horizontal="center" vertical="center" wrapText="1"/>
    </xf>
    <xf numFmtId="2" fontId="89" fillId="11" borderId="68" xfId="10" applyNumberFormat="1" applyFont="1" applyFill="1" applyBorder="1" applyAlignment="1" applyProtection="1">
      <alignment horizontal="center" vertical="center"/>
      <protection locked="0"/>
    </xf>
    <xf numFmtId="2" fontId="89" fillId="11" borderId="23" xfId="10" applyNumberFormat="1" applyFont="1" applyFill="1" applyBorder="1" applyAlignment="1" applyProtection="1">
      <alignment horizontal="center" vertical="center"/>
      <protection locked="0"/>
    </xf>
    <xf numFmtId="2" fontId="89" fillId="11" borderId="18" xfId="10" applyNumberFormat="1" applyFont="1" applyFill="1" applyBorder="1" applyAlignment="1" applyProtection="1">
      <alignment horizontal="center" vertical="center"/>
      <protection locked="0"/>
    </xf>
    <xf numFmtId="0" fontId="95" fillId="11" borderId="97" xfId="10" applyFont="1" applyFill="1" applyBorder="1" applyAlignment="1" applyProtection="1">
      <alignment horizontal="left"/>
      <protection locked="0"/>
    </xf>
    <xf numFmtId="0" fontId="98" fillId="11" borderId="82" xfId="10" applyFont="1" applyFill="1" applyBorder="1" applyAlignment="1" applyProtection="1">
      <alignment horizontal="center"/>
      <protection locked="0"/>
    </xf>
    <xf numFmtId="0" fontId="98" fillId="11" borderId="82" xfId="10" applyFont="1" applyFill="1" applyBorder="1" applyAlignment="1" applyProtection="1">
      <alignment horizontal="center" vertical="center"/>
    </xf>
    <xf numFmtId="0" fontId="109" fillId="11" borderId="0" xfId="10" applyFont="1" applyFill="1" applyAlignment="1" applyProtection="1">
      <alignment horizontal="left"/>
      <protection locked="0"/>
    </xf>
    <xf numFmtId="0" fontId="98" fillId="22" borderId="68" xfId="10" applyFont="1" applyFill="1" applyBorder="1" applyAlignment="1" applyProtection="1">
      <alignment horizontal="center" vertical="center" wrapText="1"/>
    </xf>
    <xf numFmtId="0" fontId="98" fillId="22" borderId="18" xfId="10" applyFont="1" applyFill="1" applyBorder="1" applyAlignment="1" applyProtection="1">
      <alignment horizontal="center" vertical="center" wrapText="1"/>
    </xf>
    <xf numFmtId="0" fontId="98" fillId="22" borderId="82" xfId="10" applyFont="1" applyFill="1" applyBorder="1" applyAlignment="1" applyProtection="1">
      <alignment horizontal="center" vertical="center" wrapText="1"/>
    </xf>
    <xf numFmtId="2" fontId="89" fillId="22" borderId="68" xfId="10" applyNumberFormat="1" applyFont="1" applyFill="1" applyBorder="1" applyAlignment="1" applyProtection="1">
      <alignment horizontal="center" vertical="center"/>
      <protection locked="0"/>
    </xf>
    <xf numFmtId="2" fontId="89" fillId="22" borderId="23" xfId="10" applyNumberFormat="1" applyFont="1" applyFill="1" applyBorder="1" applyAlignment="1" applyProtection="1">
      <alignment horizontal="center" vertical="center"/>
      <protection locked="0"/>
    </xf>
    <xf numFmtId="2" fontId="89" fillId="22" borderId="18" xfId="10" applyNumberFormat="1" applyFont="1" applyFill="1" applyBorder="1" applyAlignment="1" applyProtection="1">
      <alignment horizontal="center" vertical="center"/>
      <protection locked="0"/>
    </xf>
    <xf numFmtId="0" fontId="95" fillId="22" borderId="97" xfId="10" applyFont="1" applyFill="1" applyBorder="1" applyAlignment="1" applyProtection="1">
      <alignment horizontal="left"/>
      <protection locked="0"/>
    </xf>
    <xf numFmtId="0" fontId="98" fillId="22" borderId="82" xfId="10" applyFont="1" applyFill="1" applyBorder="1" applyAlignment="1" applyProtection="1">
      <alignment horizontal="center"/>
      <protection locked="0"/>
    </xf>
    <xf numFmtId="0" fontId="98" fillId="22" borderId="82" xfId="10" applyFont="1" applyFill="1" applyBorder="1" applyAlignment="1" applyProtection="1">
      <alignment horizontal="center" vertical="center"/>
    </xf>
    <xf numFmtId="0" fontId="100" fillId="33" borderId="0" xfId="10" applyFont="1" applyFill="1" applyAlignment="1" applyProtection="1">
      <alignment horizontal="center"/>
      <protection locked="0"/>
    </xf>
    <xf numFmtId="0" fontId="109" fillId="22" borderId="0" xfId="10" applyFont="1" applyFill="1" applyAlignment="1" applyProtection="1">
      <alignment horizontal="left"/>
      <protection locked="0"/>
    </xf>
    <xf numFmtId="0" fontId="33" fillId="0" borderId="108" xfId="0" applyFont="1" applyBorder="1" applyAlignment="1">
      <alignment horizontal="center" vertical="center" wrapText="1"/>
    </xf>
    <xf numFmtId="0" fontId="33" fillId="0" borderId="72" xfId="0" applyFont="1" applyBorder="1" applyAlignment="1">
      <alignment horizontal="center" vertical="center" wrapText="1"/>
    </xf>
    <xf numFmtId="0" fontId="33" fillId="0" borderId="94" xfId="0" applyFont="1" applyBorder="1" applyAlignment="1">
      <alignment horizontal="center" vertical="center" wrapText="1"/>
    </xf>
    <xf numFmtId="0" fontId="33" fillId="0" borderId="95" xfId="0" applyFont="1" applyBorder="1" applyAlignment="1">
      <alignment horizontal="center" vertical="center" wrapText="1"/>
    </xf>
    <xf numFmtId="0" fontId="33" fillId="0" borderId="109" xfId="0" applyFont="1" applyBorder="1" applyAlignment="1">
      <alignment horizontal="center" vertical="center" wrapText="1"/>
    </xf>
    <xf numFmtId="0" fontId="112" fillId="0" borderId="82" xfId="0" applyFont="1" applyBorder="1" applyAlignment="1">
      <alignment horizontal="center" vertical="center" wrapText="1"/>
    </xf>
    <xf numFmtId="0" fontId="112" fillId="0" borderId="64" xfId="0" applyFont="1" applyBorder="1" applyAlignment="1">
      <alignment horizontal="center" vertical="center" wrapText="1"/>
    </xf>
    <xf numFmtId="0" fontId="112" fillId="0" borderId="84" xfId="0" applyFont="1" applyBorder="1" applyAlignment="1">
      <alignment horizontal="center" vertical="center" wrapText="1"/>
    </xf>
    <xf numFmtId="0" fontId="112" fillId="0" borderId="85" xfId="0" applyFont="1" applyBorder="1" applyAlignment="1">
      <alignment horizontal="center" vertical="center" wrapText="1"/>
    </xf>
    <xf numFmtId="0" fontId="112" fillId="0" borderId="61" xfId="0" applyFont="1" applyBorder="1" applyAlignment="1">
      <alignment horizontal="center" vertical="center" wrapText="1"/>
    </xf>
    <xf numFmtId="0" fontId="112" fillId="0" borderId="66" xfId="0" applyFont="1" applyBorder="1" applyAlignment="1">
      <alignment horizontal="center" vertical="center" wrapText="1"/>
    </xf>
    <xf numFmtId="0" fontId="112" fillId="0" borderId="82" xfId="0" applyFont="1" applyFill="1" applyBorder="1" applyAlignment="1">
      <alignment horizontal="center" vertical="center" wrapText="1"/>
    </xf>
    <xf numFmtId="0" fontId="87" fillId="0" borderId="97" xfId="10" applyFont="1" applyFill="1" applyBorder="1" applyAlignment="1">
      <alignment horizontal="left"/>
    </xf>
    <xf numFmtId="0" fontId="107" fillId="0" borderId="40" xfId="0" applyFont="1" applyBorder="1" applyAlignment="1">
      <alignment horizontal="center" vertical="center" wrapText="1"/>
    </xf>
    <xf numFmtId="0" fontId="107" fillId="0" borderId="42" xfId="0" applyFont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07" fillId="0" borderId="102" xfId="0" applyFont="1" applyBorder="1" applyAlignment="1">
      <alignment horizontal="center" vertical="center" wrapText="1"/>
    </xf>
    <xf numFmtId="0" fontId="107" fillId="0" borderId="99" xfId="0" applyFont="1" applyBorder="1" applyAlignment="1">
      <alignment horizontal="center" vertical="center" wrapText="1"/>
    </xf>
    <xf numFmtId="0" fontId="107" fillId="0" borderId="98" xfId="0" applyFont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107" fillId="0" borderId="103" xfId="0" applyFont="1" applyBorder="1" applyAlignment="1">
      <alignment horizontal="center" vertical="center" wrapText="1"/>
    </xf>
    <xf numFmtId="0" fontId="107" fillId="0" borderId="39" xfId="0" applyFont="1" applyBorder="1" applyAlignment="1">
      <alignment horizontal="center" vertical="center" wrapText="1"/>
    </xf>
    <xf numFmtId="0" fontId="107" fillId="0" borderId="100" xfId="0" applyFont="1" applyBorder="1" applyAlignment="1">
      <alignment horizontal="center" vertical="center" wrapText="1"/>
    </xf>
    <xf numFmtId="0" fontId="84" fillId="0" borderId="88" xfId="10" applyFont="1" applyFill="1" applyBorder="1" applyAlignment="1">
      <alignment horizontal="center" vertical="center" wrapText="1"/>
    </xf>
    <xf numFmtId="0" fontId="84" fillId="0" borderId="89" xfId="10" applyFont="1" applyFill="1" applyBorder="1" applyAlignment="1">
      <alignment horizontal="center" vertical="center" wrapText="1"/>
    </xf>
    <xf numFmtId="0" fontId="84" fillId="0" borderId="90" xfId="10" applyFont="1" applyFill="1" applyBorder="1" applyAlignment="1">
      <alignment horizontal="center" vertical="center" wrapText="1"/>
    </xf>
    <xf numFmtId="0" fontId="8" fillId="0" borderId="92" xfId="10" applyFont="1" applyFill="1" applyBorder="1" applyAlignment="1">
      <alignment horizontal="center"/>
    </xf>
    <xf numFmtId="0" fontId="8" fillId="0" borderId="2" xfId="10" applyFont="1" applyFill="1" applyBorder="1" applyAlignment="1">
      <alignment horizontal="center"/>
    </xf>
    <xf numFmtId="0" fontId="84" fillId="0" borderId="94" xfId="10" applyFont="1" applyFill="1" applyBorder="1" applyAlignment="1">
      <alignment horizontal="center" vertical="center" wrapText="1"/>
    </xf>
    <xf numFmtId="0" fontId="84" fillId="0" borderId="95" xfId="10" applyFont="1" applyFill="1" applyBorder="1" applyAlignment="1">
      <alignment horizontal="center" vertical="center" wrapText="1"/>
    </xf>
    <xf numFmtId="0" fontId="84" fillId="0" borderId="45" xfId="10" applyFont="1" applyFill="1" applyBorder="1" applyAlignment="1">
      <alignment horizontal="center" vertical="center" wrapText="1"/>
    </xf>
    <xf numFmtId="0" fontId="94" fillId="0" borderId="82" xfId="10" applyFont="1" applyFill="1" applyBorder="1" applyAlignment="1">
      <alignment horizontal="left" vertical="top" wrapText="1"/>
    </xf>
    <xf numFmtId="0" fontId="10" fillId="0" borderId="21" xfId="0" applyFont="1" applyFill="1" applyBorder="1" applyAlignment="1">
      <alignment horizontal="center" wrapText="1"/>
    </xf>
    <xf numFmtId="2" fontId="9" fillId="0" borderId="14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0" fontId="9" fillId="15" borderId="17" xfId="0" applyFont="1" applyFill="1" applyBorder="1" applyAlignment="1">
      <alignment horizontal="center"/>
    </xf>
    <xf numFmtId="0" fontId="9" fillId="15" borderId="23" xfId="0" applyFont="1" applyFill="1" applyBorder="1" applyAlignment="1">
      <alignment horizontal="center"/>
    </xf>
    <xf numFmtId="0" fontId="9" fillId="15" borderId="24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9" fontId="9" fillId="0" borderId="14" xfId="0" applyNumberFormat="1" applyFont="1" applyFill="1" applyBorder="1" applyAlignment="1">
      <alignment horizontal="center"/>
    </xf>
    <xf numFmtId="9" fontId="9" fillId="0" borderId="2" xfId="0" applyNumberFormat="1" applyFont="1" applyFill="1" applyBorder="1" applyAlignment="1">
      <alignment horizontal="center"/>
    </xf>
    <xf numFmtId="166" fontId="9" fillId="0" borderId="14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25" fillId="0" borderId="4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3" fillId="0" borderId="40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16" borderId="40" xfId="0" applyFont="1" applyFill="1" applyBorder="1" applyAlignment="1">
      <alignment vertical="center" wrapText="1"/>
    </xf>
    <xf numFmtId="0" fontId="25" fillId="16" borderId="25" xfId="0" applyFont="1" applyFill="1" applyBorder="1" applyAlignment="1">
      <alignment vertical="center" wrapText="1"/>
    </xf>
    <xf numFmtId="4" fontId="6" fillId="17" borderId="51" xfId="0" applyNumberFormat="1" applyFont="1" applyFill="1" applyBorder="1" applyAlignment="1">
      <alignment horizontal="center" vertical="center" wrapText="1"/>
    </xf>
    <xf numFmtId="4" fontId="6" fillId="17" borderId="25" xfId="0" applyNumberFormat="1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42" xfId="0" applyFont="1" applyBorder="1" applyAlignment="1">
      <alignment vertical="center" wrapText="1"/>
    </xf>
    <xf numFmtId="0" fontId="25" fillId="0" borderId="50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4" xfId="0" applyFont="1" applyBorder="1" applyAlignment="1">
      <alignment vertical="center" wrapText="1"/>
    </xf>
  </cellXfs>
  <cellStyles count="23">
    <cellStyle name="Dziesiętny" xfId="1" builtinId="3"/>
    <cellStyle name="Dziesiętny 2" xfId="7" xr:uid="{00000000-0005-0000-0000-000001000000}"/>
    <cellStyle name="Dziesiętny 2 2" xfId="20" xr:uid="{00000000-0005-0000-0000-000002000000}"/>
    <cellStyle name="Dziesiętny 3" xfId="4" xr:uid="{00000000-0005-0000-0000-000002000000}"/>
    <cellStyle name="Dziesiętny 4" xfId="11" xr:uid="{A3265BD1-78ED-4543-BE98-ECE82FC52ABD}"/>
    <cellStyle name="Dziesiętny 5" xfId="13" xr:uid="{00000000-0005-0000-0000-00003B000000}"/>
    <cellStyle name="Hiperłącze 2" xfId="14" xr:uid="{00000000-0005-0000-0000-00003D000000}"/>
    <cellStyle name="Normal" xfId="9" xr:uid="{00000000-0005-0000-0000-000003000000}"/>
    <cellStyle name="Normalny" xfId="0" builtinId="0"/>
    <cellStyle name="Normalny 2" xfId="6" xr:uid="{00000000-0005-0000-0000-000005000000}"/>
    <cellStyle name="Normalny 2 2" xfId="21" xr:uid="{00000000-0005-0000-0000-000007000000}"/>
    <cellStyle name="Normalny 2 3" xfId="15" xr:uid="{00000000-0005-0000-0000-000006000000}"/>
    <cellStyle name="Normalny 3" xfId="3" xr:uid="{00000000-0005-0000-0000-000006000000}"/>
    <cellStyle name="Normalny 3 2" xfId="18" xr:uid="{00000000-0005-0000-0000-000008000000}"/>
    <cellStyle name="Normalny 4" xfId="10" xr:uid="{E3706BA2-A0DE-48C2-80B3-646D315BF632}"/>
    <cellStyle name="Normalny 4 2" xfId="17" xr:uid="{00000000-0005-0000-0000-000009000000}"/>
    <cellStyle name="Procentowy" xfId="2" builtinId="5"/>
    <cellStyle name="Procentowy 2" xfId="8" xr:uid="{00000000-0005-0000-0000-000008000000}"/>
    <cellStyle name="Procentowy 2 2" xfId="22" xr:uid="{00000000-0005-0000-0000-00000C000000}"/>
    <cellStyle name="Procentowy 2 3" xfId="16" xr:uid="{00000000-0005-0000-0000-00000B000000}"/>
    <cellStyle name="Procentowy 3" xfId="5" xr:uid="{00000000-0005-0000-0000-000009000000}"/>
    <cellStyle name="Procentowy 3 2" xfId="19" xr:uid="{00000000-0005-0000-0000-00000D000000}"/>
    <cellStyle name="Procentowy 4" xfId="12" xr:uid="{AD64A627-75DA-40C9-8AA1-75873B0D22AB}"/>
  </cellStyles>
  <dxfs count="0"/>
  <tableStyles count="0" defaultTableStyle="TableStyleMedium9" defaultPivotStyle="PivotStyleLight16"/>
  <colors>
    <mruColors>
      <color rgb="FF74E4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10808593722789E-2"/>
          <c:y val="4.3611287877419684E-2"/>
          <c:w val="0.862050498298775"/>
          <c:h val="0.78370379037191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OPTI!$L$56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3.6844401739752034E-3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2E-4797-BD7C-2DD352CA9B74}"/>
                </c:ext>
              </c:extLst>
            </c:dLbl>
            <c:dLbl>
              <c:idx val="2"/>
              <c:layout>
                <c:manualLayout>
                  <c:x val="2.2151608620777689E-3"/>
                  <c:y val="-1.191041310899014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18-4732-9CF6-546F1E1878BA}"/>
                </c:ext>
              </c:extLst>
            </c:dLbl>
            <c:dLbl>
              <c:idx val="6"/>
              <c:layout>
                <c:manualLayout>
                  <c:x val="3.3083812548085671E-2"/>
                  <c:y val="7.21700641078401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18-4732-9CF6-546F1E1878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OPTI!$K$57:$K$60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f>OPTI!$L$57:$L$60</c:f>
              <c:numCache>
                <c:formatCode>#,##0</c:formatCode>
                <c:ptCount val="4"/>
                <c:pt idx="0">
                  <c:v>259454.04284935602</c:v>
                </c:pt>
                <c:pt idx="1">
                  <c:v>9286.3679931847782</c:v>
                </c:pt>
                <c:pt idx="2">
                  <c:v>8754.095789476678</c:v>
                </c:pt>
                <c:pt idx="3">
                  <c:v>70210.880460539745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18-4732-9CF6-546F1E1878BA}"/>
            </c:ext>
          </c:extLst>
        </c:ser>
        <c:ser>
          <c:idx val="1"/>
          <c:order val="1"/>
          <c:tx>
            <c:strRef>
              <c:f>OPTI!$M$56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OPTI!$K$57:$K$60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f>OPTI!$M$57:$M$60</c:f>
              <c:numCache>
                <c:formatCode>#,##0</c:formatCode>
                <c:ptCount val="4"/>
                <c:pt idx="0">
                  <c:v>254918.07883772551</c:v>
                </c:pt>
                <c:pt idx="1">
                  <c:v>8581.3313423399486</c:v>
                </c:pt>
                <c:pt idx="2">
                  <c:v>7479.1719239620616</c:v>
                </c:pt>
                <c:pt idx="3">
                  <c:v>70044.980518427634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818-4732-9CF6-546F1E1878BA}"/>
            </c:ext>
          </c:extLst>
        </c:ser>
        <c:ser>
          <c:idx val="2"/>
          <c:order val="2"/>
          <c:tx>
            <c:strRef>
              <c:f>OPTI!$O$56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OPTI!$K$57:$K$60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f>OPTI!$O$57:$O$60</c:f>
              <c:numCache>
                <c:formatCode>#,##0</c:formatCode>
                <c:ptCount val="4"/>
                <c:pt idx="0">
                  <c:v>242035.56787734461</c:v>
                </c:pt>
                <c:pt idx="1">
                  <c:v>8850.1027021698155</c:v>
                </c:pt>
                <c:pt idx="2">
                  <c:v>5636.4395512870778</c:v>
                </c:pt>
                <c:pt idx="3">
                  <c:v>68924.429061860064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818-4732-9CF6-546F1E187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971024"/>
        <c:axId val="232971416"/>
      </c:barChart>
      <c:catAx>
        <c:axId val="232971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971416"/>
        <c:crosses val="autoZero"/>
        <c:auto val="1"/>
        <c:lblAlgn val="ctr"/>
        <c:lblOffset val="100"/>
        <c:noMultiLvlLbl val="0"/>
      </c:catAx>
      <c:valAx>
        <c:axId val="23297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97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24228414402622"/>
          <c:y val="4.3611041427663463E-2"/>
          <c:w val="0.862050498298775"/>
          <c:h val="0.78370379037191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ZANIECH!$L$56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2.2151608620777689E-3"/>
                  <c:y val="-1.191041310899014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D9-489F-8638-1607AC7E67A9}"/>
                </c:ext>
              </c:extLst>
            </c:dLbl>
            <c:dLbl>
              <c:idx val="5"/>
              <c:layout>
                <c:manualLayout>
                  <c:x val="3.3083812548085671E-2"/>
                  <c:y val="7.217006410784017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D9-489F-8638-1607AC7E67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ZANIECH!$K$56:$K$60</c15:sqref>
                  </c15:fullRef>
                </c:ext>
              </c:extLst>
              <c:f>ZANIECH!$K$57:$K$60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ZANIECH!$L$56:$L$60</c15:sqref>
                  </c15:fullRef>
                </c:ext>
              </c:extLst>
              <c:f>ZANIECH!$L$57:$L$60</c:f>
              <c:numCache>
                <c:formatCode>#,##0</c:formatCode>
                <c:ptCount val="4"/>
                <c:pt idx="0">
                  <c:v>259454.04284935602</c:v>
                </c:pt>
                <c:pt idx="1">
                  <c:v>9286.3679931847782</c:v>
                </c:pt>
                <c:pt idx="2">
                  <c:v>8754.095789476678</c:v>
                </c:pt>
                <c:pt idx="3">
                  <c:v>70210.880460539745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D9-489F-8638-1607AC7E67A9}"/>
            </c:ext>
          </c:extLst>
        </c:ser>
        <c:ser>
          <c:idx val="1"/>
          <c:order val="1"/>
          <c:tx>
            <c:strRef>
              <c:f>ZANIECH!$M$56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ZANIECH!$K$56:$K$60</c15:sqref>
                  </c15:fullRef>
                </c:ext>
              </c:extLst>
              <c:f>ZANIECH!$K$57:$K$60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ZANIECH!$M$56:$M$60</c15:sqref>
                  </c15:fullRef>
                </c:ext>
              </c:extLst>
              <c:f>ZANIECH!$M$57:$M$60</c:f>
              <c:numCache>
                <c:formatCode>#,##0</c:formatCode>
                <c:ptCount val="4"/>
                <c:pt idx="0">
                  <c:v>265314.2999604824</c:v>
                </c:pt>
                <c:pt idx="1">
                  <c:v>9449.3842252540089</c:v>
                </c:pt>
                <c:pt idx="2">
                  <c:v>9119.1951241430233</c:v>
                </c:pt>
                <c:pt idx="3">
                  <c:v>73782.957244088146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9-489F-8638-1607AC7E67A9}"/>
            </c:ext>
          </c:extLst>
        </c:ser>
        <c:ser>
          <c:idx val="2"/>
          <c:order val="2"/>
          <c:tx>
            <c:strRef>
              <c:f>ZANIECH!$O$56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ZANIECH!$K$56:$K$60</c15:sqref>
                  </c15:fullRef>
                </c:ext>
              </c:extLst>
              <c:f>ZANIECH!$K$57:$K$60</c:f>
              <c:strCache>
                <c:ptCount val="4"/>
                <c:pt idx="0">
                  <c:v>Budynki mieszkalne - potrzeby grzewcze</c:v>
                </c:pt>
                <c:pt idx="1">
                  <c:v>Budynki mieszkalne wielorodzinne - potrzeby grzewcze</c:v>
                </c:pt>
                <c:pt idx="2">
                  <c:v>Budynki komunalne (gminne) - potrzeby grzewcze</c:v>
                </c:pt>
                <c:pt idx="3">
                  <c:v>Budynki usługowo-użytkowe - potrzeby grzewcze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ZANIECH!$O$56:$O$60</c15:sqref>
                  </c15:fullRef>
                </c:ext>
              </c:extLst>
              <c:f>ZANIECH!$O$57:$O$60</c:f>
              <c:numCache>
                <c:formatCode>#,##0</c:formatCode>
                <c:ptCount val="4"/>
                <c:pt idx="0">
                  <c:v>279936.01591545768</c:v>
                </c:pt>
                <c:pt idx="1">
                  <c:v>9989.9444291430791</c:v>
                </c:pt>
                <c:pt idx="2">
                  <c:v>9254.8600506590228</c:v>
                </c:pt>
                <c:pt idx="3">
                  <c:v>81324.17331884164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D9-489F-8638-1607AC7E6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971024"/>
        <c:axId val="232971416"/>
      </c:barChart>
      <c:catAx>
        <c:axId val="232971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971416"/>
        <c:crosses val="autoZero"/>
        <c:auto val="1"/>
        <c:lblAlgn val="ctr"/>
        <c:lblOffset val="100"/>
        <c:noMultiLvlLbl val="0"/>
      </c:catAx>
      <c:valAx>
        <c:axId val="23297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97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'2032 Emisja opti'!$R$4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opti'!$R$5:$R$13</c:f>
              <c:numCache>
                <c:formatCode>#,##0.00</c:formatCode>
                <c:ptCount val="9"/>
                <c:pt idx="0">
                  <c:v>250.60350256551058</c:v>
                </c:pt>
                <c:pt idx="1">
                  <c:v>9.4789999999999992</c:v>
                </c:pt>
                <c:pt idx="2">
                  <c:v>29.165621499999993</c:v>
                </c:pt>
                <c:pt idx="3">
                  <c:v>28.967743856442041</c:v>
                </c:pt>
                <c:pt idx="4">
                  <c:v>11.051283618268929</c:v>
                </c:pt>
                <c:pt idx="5">
                  <c:v>16.260403942576815</c:v>
                </c:pt>
                <c:pt idx="6">
                  <c:v>1.9993802142467803</c:v>
                </c:pt>
                <c:pt idx="7">
                  <c:v>1.5114761713974243</c:v>
                </c:pt>
                <c:pt idx="8">
                  <c:v>1.4196702142467803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4F-4C48-BA3E-99ACC589CEC7}"/>
            </c:ext>
          </c:extLst>
        </c:ser>
        <c:ser>
          <c:idx val="1"/>
          <c:order val="1"/>
          <c:tx>
            <c:strRef>
              <c:f>'2032 Emisja opti'!$S$4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opti'!$S$5:$S$13</c:f>
              <c:numCache>
                <c:formatCode>#,##0.00</c:formatCode>
                <c:ptCount val="9"/>
                <c:pt idx="0">
                  <c:v>239.03754737498804</c:v>
                </c:pt>
                <c:pt idx="1">
                  <c:v>9.8567338434567819</c:v>
                </c:pt>
                <c:pt idx="2">
                  <c:v>33.438495455203125</c:v>
                </c:pt>
                <c:pt idx="3">
                  <c:v>27.845775731685229</c:v>
                </c:pt>
                <c:pt idx="4">
                  <c:v>14.399421984614678</c:v>
                </c:pt>
                <c:pt idx="5">
                  <c:v>8.8729124544701961</c:v>
                </c:pt>
                <c:pt idx="6">
                  <c:v>1.3698972179430402</c:v>
                </c:pt>
                <c:pt idx="7">
                  <c:v>3.1163935710256228</c:v>
                </c:pt>
                <c:pt idx="8">
                  <c:v>3.0863849890684452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4F-4C48-BA3E-99ACC589CEC7}"/>
            </c:ext>
          </c:extLst>
        </c:ser>
        <c:ser>
          <c:idx val="2"/>
          <c:order val="2"/>
          <c:tx>
            <c:strRef>
              <c:f>'2032 Emisja opti'!$T$4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opti'!$T$5:$T$13</c:f>
              <c:numCache>
                <c:formatCode>#,##0.00</c:formatCode>
                <c:ptCount val="9"/>
                <c:pt idx="0">
                  <c:v>212.30807220248349</c:v>
                </c:pt>
                <c:pt idx="1">
                  <c:v>11.507639320269218</c:v>
                </c:pt>
                <c:pt idx="2">
                  <c:v>49.319195847241502</c:v>
                </c:pt>
                <c:pt idx="3">
                  <c:v>26.607911143291219</c:v>
                </c:pt>
                <c:pt idx="4">
                  <c:v>18.657599816352281</c:v>
                </c:pt>
                <c:pt idx="5">
                  <c:v>0.48948756784386899</c:v>
                </c:pt>
                <c:pt idx="6">
                  <c:v>0.69084442294026938</c:v>
                </c:pt>
                <c:pt idx="7">
                  <c:v>4.8898575361395533</c:v>
                </c:pt>
                <c:pt idx="8">
                  <c:v>9.5478217179955465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4F-4C48-BA3E-99ACC589C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963136"/>
        <c:axId val="436959528"/>
      </c:barChart>
      <c:catAx>
        <c:axId val="4369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6959528"/>
        <c:crosses val="autoZero"/>
        <c:auto val="1"/>
        <c:lblAlgn val="ctr"/>
        <c:lblOffset val="100"/>
        <c:noMultiLvlLbl val="0"/>
      </c:catAx>
      <c:valAx>
        <c:axId val="43695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696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962033810900836E-2"/>
          <c:y val="2.8194444444444459E-2"/>
          <c:w val="0.90348232679747331"/>
          <c:h val="0.87366542723826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'2032 Emisja opti'!$Q$46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opti'!$R$52:$X$52</c:f>
              <c:numCache>
                <c:formatCode>_(* #,##0.00_);_(* \(#,##0.00\);_(* "-"??_);_(@_)</c:formatCode>
                <c:ptCount val="7"/>
                <c:pt idx="0">
                  <c:v>75.606774481928852</c:v>
                </c:pt>
                <c:pt idx="1">
                  <c:v>69.200757745609508</c:v>
                </c:pt>
                <c:pt idx="2">
                  <c:v>390.83386234701584</c:v>
                </c:pt>
                <c:pt idx="3">
                  <c:v>7.2299904056553649E-2</c:v>
                </c:pt>
                <c:pt idx="4">
                  <c:v>228.29864416814203</c:v>
                </c:pt>
                <c:pt idx="5">
                  <c:v>47.823747202444515</c:v>
                </c:pt>
                <c:pt idx="6">
                  <c:v>512.15341494545373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C-4539-8DF8-545101A24B5E}"/>
            </c:ext>
          </c:extLst>
        </c:ser>
        <c:ser>
          <c:idx val="1"/>
          <c:order val="1"/>
          <c:tx>
            <c:strRef>
              <c:f>'2032 Emisja opti'!$Q$47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opti'!$R$53:$X$53</c:f>
              <c:numCache>
                <c:formatCode>_(* #,##0.00_);_(* \(#,##0.00\);_(* "-"??_);_(@_)</c:formatCode>
                <c:ptCount val="7"/>
                <c:pt idx="0">
                  <c:v>66.794767662435873</c:v>
                </c:pt>
                <c:pt idx="1">
                  <c:v>61.196667277324025</c:v>
                </c:pt>
                <c:pt idx="2">
                  <c:v>383.27546100716859</c:v>
                </c:pt>
                <c:pt idx="3">
                  <c:v>6.3087111366481152E-2</c:v>
                </c:pt>
                <c:pt idx="4">
                  <c:v>202.58177973560055</c:v>
                </c:pt>
                <c:pt idx="5">
                  <c:v>44.049383592665009</c:v>
                </c:pt>
                <c:pt idx="6">
                  <c:v>424.64988440325476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3C-4539-8DF8-545101A24B5E}"/>
            </c:ext>
          </c:extLst>
        </c:ser>
        <c:ser>
          <c:idx val="2"/>
          <c:order val="2"/>
          <c:tx>
            <c:strRef>
              <c:f>'2032 Emisja opti'!$Q$49</c:f>
              <c:strCache>
                <c:ptCount val="1"/>
                <c:pt idx="0">
                  <c:v>2032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opti'!$R$45:$X$45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opti'!$R$54:$X$54</c:f>
              <c:numCache>
                <c:formatCode>_(* #,##0.00_);_(* \(#,##0.00\);_(* "-"??_);_(@_)</c:formatCode>
                <c:ptCount val="7"/>
                <c:pt idx="0">
                  <c:v>48.771262879660107</c:v>
                </c:pt>
                <c:pt idx="1">
                  <c:v>44.733643904540777</c:v>
                </c:pt>
                <c:pt idx="2">
                  <c:v>361.25692989757465</c:v>
                </c:pt>
                <c:pt idx="3">
                  <c:v>4.4922203146134224E-2</c:v>
                </c:pt>
                <c:pt idx="4">
                  <c:v>153.9689063929128</c:v>
                </c:pt>
                <c:pt idx="5">
                  <c:v>39.663502054695627</c:v>
                </c:pt>
                <c:pt idx="6">
                  <c:v>265.72402565879986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3C-4539-8DF8-545101A24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432152"/>
        <c:axId val="366432480"/>
      </c:barChart>
      <c:catAx>
        <c:axId val="36643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6432480"/>
        <c:crosses val="autoZero"/>
        <c:auto val="1"/>
        <c:lblAlgn val="ctr"/>
        <c:lblOffset val="100"/>
        <c:noMultiLvlLbl val="0"/>
      </c:catAx>
      <c:valAx>
        <c:axId val="3664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6432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'2032 Emisja zaniech'!$R$4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zaniech'!$R$5:$R$13</c:f>
              <c:numCache>
                <c:formatCode>#,##0.00</c:formatCode>
                <c:ptCount val="9"/>
                <c:pt idx="0">
                  <c:v>250.60350256551058</c:v>
                </c:pt>
                <c:pt idx="1">
                  <c:v>9.4789999999999992</c:v>
                </c:pt>
                <c:pt idx="2">
                  <c:v>29.165621499999993</c:v>
                </c:pt>
                <c:pt idx="3">
                  <c:v>28.967743856442041</c:v>
                </c:pt>
                <c:pt idx="4">
                  <c:v>11.051283618268929</c:v>
                </c:pt>
                <c:pt idx="5">
                  <c:v>16.260403942576815</c:v>
                </c:pt>
                <c:pt idx="6">
                  <c:v>1.9993802142467803</c:v>
                </c:pt>
                <c:pt idx="7">
                  <c:v>1.5114761713974243</c:v>
                </c:pt>
                <c:pt idx="8">
                  <c:v>1.4196702142467803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2D-4C99-A0C6-3F8EC9E71821}"/>
            </c:ext>
          </c:extLst>
        </c:ser>
        <c:ser>
          <c:idx val="1"/>
          <c:order val="1"/>
          <c:tx>
            <c:strRef>
              <c:f>'2032 Emisja zaniech'!$S$4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zaniech'!$S$5:$S$13</c:f>
              <c:numCache>
                <c:formatCode>0.00</c:formatCode>
                <c:ptCount val="9"/>
                <c:pt idx="0">
                  <c:v>257.70281382064451</c:v>
                </c:pt>
                <c:pt idx="1">
                  <c:v>9.7187950536677459</c:v>
                </c:pt>
                <c:pt idx="2">
                  <c:v>32.793800374913374</c:v>
                </c:pt>
                <c:pt idx="3">
                  <c:v>29.780923575970469</c:v>
                </c:pt>
                <c:pt idx="4">
                  <c:v>11.392258679932485</c:v>
                </c:pt>
                <c:pt idx="5">
                  <c:v>16.761837667883629</c:v>
                </c:pt>
                <c:pt idx="6">
                  <c:v>2.0644010722432937</c:v>
                </c:pt>
                <c:pt idx="7">
                  <c:v>1.557026149774789</c:v>
                </c:pt>
                <c:pt idx="8">
                  <c:v>1.4539363637404485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2D-4C99-A0C6-3F8EC9E71821}"/>
            </c:ext>
          </c:extLst>
        </c:ser>
        <c:ser>
          <c:idx val="2"/>
          <c:order val="2"/>
          <c:tx>
            <c:strRef>
              <c:f>'2032 Emisja zaniech'!$T$4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zaniech'!$Q$5:$Q$13</c:f>
              <c:strCache>
                <c:ptCount val="9"/>
                <c:pt idx="0">
                  <c:v>węgiel</c:v>
                </c:pt>
                <c:pt idx="1">
                  <c:v>sieć osiedlowa</c:v>
                </c:pt>
                <c:pt idx="2">
                  <c:v>gaz</c:v>
                </c:pt>
                <c:pt idx="3">
                  <c:v>drewno</c:v>
                </c:pt>
                <c:pt idx="4">
                  <c:v>pelet</c:v>
                </c:pt>
                <c:pt idx="5">
                  <c:v>olej opałowy</c:v>
                </c:pt>
                <c:pt idx="6">
                  <c:v>prąd</c:v>
                </c:pt>
                <c:pt idx="7">
                  <c:v>kolektory słoneczne</c:v>
                </c:pt>
                <c:pt idx="8">
                  <c:v>pompy ciepła</c:v>
                </c:pt>
              </c:strCache>
            </c:strRef>
          </c:cat>
          <c:val>
            <c:numRef>
              <c:f>'2032 Emisja zaniech'!$T$5:$T$13</c:f>
              <c:numCache>
                <c:formatCode>0.00</c:formatCode>
                <c:ptCount val="9"/>
                <c:pt idx="0">
                  <c:v>274.44639513926779</c:v>
                </c:pt>
                <c:pt idx="1">
                  <c:v>10.134216389971868</c:v>
                </c:pt>
                <c:pt idx="2">
                  <c:v>34.830954354793164</c:v>
                </c:pt>
                <c:pt idx="3">
                  <c:v>31.700175297898525</c:v>
                </c:pt>
                <c:pt idx="4">
                  <c:v>12.17994515398048</c:v>
                </c:pt>
                <c:pt idx="5">
                  <c:v>17.689153629729184</c:v>
                </c:pt>
                <c:pt idx="6">
                  <c:v>2.2129218127657051</c:v>
                </c:pt>
                <c:pt idx="7">
                  <c:v>1.6486627268743868</c:v>
                </c:pt>
                <c:pt idx="8">
                  <c:v>1.5289397318899183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2D-4C99-A0C6-3F8EC9E71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963136"/>
        <c:axId val="436959528"/>
      </c:barChart>
      <c:catAx>
        <c:axId val="4369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6959528"/>
        <c:crosses val="autoZero"/>
        <c:auto val="1"/>
        <c:lblAlgn val="ctr"/>
        <c:lblOffset val="100"/>
        <c:noMultiLvlLbl val="0"/>
      </c:catAx>
      <c:valAx>
        <c:axId val="43695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3696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962033810900836E-2"/>
          <c:y val="2.8194444444444459E-2"/>
          <c:w val="0.90348232679747331"/>
          <c:h val="0.87366542723826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'2032 Emisja zaniech'!$Q$46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zaniech'!$R$52:$X$52</c:f>
              <c:numCache>
                <c:formatCode>_(* #,##0.00_);_(* \(#,##0.00\);_(* "-"??_);_(@_)</c:formatCode>
                <c:ptCount val="7"/>
                <c:pt idx="0">
                  <c:v>75.606774481928852</c:v>
                </c:pt>
                <c:pt idx="1">
                  <c:v>69.200757745609508</c:v>
                </c:pt>
                <c:pt idx="2">
                  <c:v>390.83386234701584</c:v>
                </c:pt>
                <c:pt idx="3">
                  <c:v>72.299904056553643</c:v>
                </c:pt>
                <c:pt idx="4">
                  <c:v>228.29864416814203</c:v>
                </c:pt>
                <c:pt idx="5">
                  <c:v>47.823747202444515</c:v>
                </c:pt>
                <c:pt idx="6">
                  <c:v>512.15341494545373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4-422E-9DC9-5381E6F0B78B}"/>
            </c:ext>
          </c:extLst>
        </c:ser>
        <c:ser>
          <c:idx val="1"/>
          <c:order val="1"/>
          <c:tx>
            <c:strRef>
              <c:f>'2032 Emisja zaniech'!$Q$47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'2032 Emisja zaniech'!$R$45:$X$45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zaniech'!$R$53:$X$53</c:f>
              <c:numCache>
                <c:formatCode>_(* #,##0.00_);_(* \(#,##0.00\);_(* "-"??_);_(@_)</c:formatCode>
                <c:ptCount val="7"/>
                <c:pt idx="0">
                  <c:v>77.812943005669538</c:v>
                </c:pt>
                <c:pt idx="1">
                  <c:v>71.216343651415045</c:v>
                </c:pt>
                <c:pt idx="2">
                  <c:v>458.68420481953638</c:v>
                </c:pt>
                <c:pt idx="3">
                  <c:v>74.729333161217099</c:v>
                </c:pt>
                <c:pt idx="4">
                  <c:v>234.74849161708616</c:v>
                </c:pt>
                <c:pt idx="5">
                  <c:v>46.823917819631589</c:v>
                </c:pt>
                <c:pt idx="6">
                  <c:v>526.30569428303477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24-422E-9DC9-5381E6F0B78B}"/>
            </c:ext>
          </c:extLst>
        </c:ser>
        <c:ser>
          <c:idx val="2"/>
          <c:order val="2"/>
          <c:tx>
            <c:strRef>
              <c:f>'2032 Emisja zaniech'!$Q$49</c:f>
              <c:strCache>
                <c:ptCount val="1"/>
                <c:pt idx="0">
                  <c:v>2033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'2032 Emisja zaniech'!$R$45:$X$45</c:f>
              <c:strCache>
                <c:ptCount val="7"/>
                <c:pt idx="0">
                  <c:v>PM 10</c:v>
                </c:pt>
                <c:pt idx="1">
                  <c:v>PM 2,5</c:v>
                </c:pt>
                <c:pt idx="2">
                  <c:v>CO2*</c:v>
                </c:pt>
                <c:pt idx="3">
                  <c:v>BaP**</c:v>
                </c:pt>
                <c:pt idx="4">
                  <c:v>SO2</c:v>
                </c:pt>
                <c:pt idx="5">
                  <c:v>NOx</c:v>
                </c:pt>
                <c:pt idx="6">
                  <c:v>CO</c:v>
                </c:pt>
              </c:strCache>
            </c:strRef>
          </c:cat>
          <c:val>
            <c:numRef>
              <c:f>'2032 Emisja zaniech'!$R$54:$X$54</c:f>
              <c:numCache>
                <c:formatCode>_(* #,##0.00_);_(* \(#,##0.00\);_(* "-"??_);_(@_)</c:formatCode>
                <c:ptCount val="7"/>
                <c:pt idx="0">
                  <c:v>82.883379661303763</c:v>
                </c:pt>
                <c:pt idx="1">
                  <c:v>75.857864973442545</c:v>
                </c:pt>
                <c:pt idx="2">
                  <c:v>529.60389706705939</c:v>
                </c:pt>
                <c:pt idx="3">
                  <c:v>79.586912798576961</c:v>
                </c:pt>
                <c:pt idx="4">
                  <c:v>249.97833393565116</c:v>
                </c:pt>
                <c:pt idx="5">
                  <c:v>49.852728539975331</c:v>
                </c:pt>
                <c:pt idx="6">
                  <c:v>560.5034382405222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24-422E-9DC9-5381E6F0B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432152"/>
        <c:axId val="366432480"/>
      </c:barChart>
      <c:catAx>
        <c:axId val="36643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6432480"/>
        <c:crosses val="autoZero"/>
        <c:auto val="1"/>
        <c:lblAlgn val="ctr"/>
        <c:lblOffset val="100"/>
        <c:noMultiLvlLbl val="0"/>
      </c:catAx>
      <c:valAx>
        <c:axId val="3664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6432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755409397388839E-2"/>
          <c:y val="9.9416366781476764E-2"/>
          <c:w val="0.65247983106776164"/>
          <c:h val="0.8414397025970437"/>
        </c:manualLayout>
      </c:layout>
      <c:pie3DChart>
        <c:varyColors val="1"/>
        <c:ser>
          <c:idx val="0"/>
          <c:order val="0"/>
          <c:dLbls>
            <c:dLbl>
              <c:idx val="1"/>
              <c:layout>
                <c:manualLayout>
                  <c:x val="-3.3210293681245735E-2"/>
                  <c:y val="-4.9170776156617517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3B-4356-83AC-0C5D0872C4BA}"/>
                </c:ext>
              </c:extLst>
            </c:dLbl>
            <c:dLbl>
              <c:idx val="2"/>
              <c:layout>
                <c:manualLayout>
                  <c:x val="1.2905201410972547E-2"/>
                  <c:y val="-9.7052792644769723E-3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3B-4356-83AC-0C5D0872C4BA}"/>
                </c:ext>
              </c:extLst>
            </c:dLbl>
            <c:dLbl>
              <c:idx val="3"/>
              <c:layout>
                <c:manualLayout>
                  <c:x val="1.8146100554901099E-2"/>
                  <c:y val="3.1320513643801888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3B-4356-83AC-0C5D0872C4BA}"/>
                </c:ext>
              </c:extLst>
            </c:dLbl>
            <c:dLbl>
              <c:idx val="4"/>
              <c:layout>
                <c:manualLayout>
                  <c:x val="-7.6482892850116752E-2"/>
                  <c:y val="0.12978911507383795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3B-4356-83AC-0C5D0872C4BA}"/>
                </c:ext>
              </c:extLst>
            </c:dLbl>
            <c:dLbl>
              <c:idx val="5"/>
              <c:layout>
                <c:manualLayout>
                  <c:x val="6.6352906876857964E-2"/>
                  <c:y val="-0.30548226626837643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3B-4356-83AC-0C5D0872C4BA}"/>
                </c:ext>
              </c:extLst>
            </c:dLbl>
            <c:dLbl>
              <c:idx val="6"/>
              <c:layout>
                <c:manualLayout>
                  <c:x val="7.2681584455385861E-4"/>
                  <c:y val="-1.8107405496493555E-2"/>
                </c:manualLayout>
              </c:layout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3B-4356-83AC-0C5D0872C4B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'emisja now'!$A$2:$A$10</c:f>
              <c:strCache>
                <c:ptCount val="9"/>
                <c:pt idx="0">
                  <c:v>gaz</c:v>
                </c:pt>
                <c:pt idx="1">
                  <c:v>energia elektr</c:v>
                </c:pt>
                <c:pt idx="2">
                  <c:v>drewno</c:v>
                </c:pt>
                <c:pt idx="3">
                  <c:v>pelet</c:v>
                </c:pt>
                <c:pt idx="4">
                  <c:v>olej opałowy</c:v>
                </c:pt>
                <c:pt idx="5">
                  <c:v>ciepło sieciowe węgiel</c:v>
                </c:pt>
                <c:pt idx="6">
                  <c:v>ciepło sieciowe gaz</c:v>
                </c:pt>
                <c:pt idx="7">
                  <c:v>węgiel - gospodarstwa domowe</c:v>
                </c:pt>
                <c:pt idx="8">
                  <c:v>oźe bez biomasy</c:v>
                </c:pt>
              </c:strCache>
            </c:strRef>
          </c:cat>
          <c:val>
            <c:numRef>
              <c:f>'emisja now'!$B$2:$B$10</c:f>
              <c:numCache>
                <c:formatCode>0.0%</c:formatCode>
                <c:ptCount val="9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F3B-4356-83AC-0C5D0872C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090627796759401"/>
          <c:y val="0.16908355237080849"/>
          <c:w val="0.25556584285659584"/>
          <c:h val="0.68548864812263943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33618</xdr:colOff>
      <xdr:row>62</xdr:row>
      <xdr:rowOff>44823</xdr:rowOff>
    </xdr:from>
    <xdr:to>
      <xdr:col>20</xdr:col>
      <xdr:colOff>596151</xdr:colOff>
      <xdr:row>78</xdr:row>
      <xdr:rowOff>112058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593912</xdr:colOff>
      <xdr:row>63</xdr:row>
      <xdr:rowOff>22411</xdr:rowOff>
    </xdr:from>
    <xdr:to>
      <xdr:col>19</xdr:col>
      <xdr:colOff>170327</xdr:colOff>
      <xdr:row>78</xdr:row>
      <xdr:rowOff>89646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196102</xdr:colOff>
      <xdr:row>16</xdr:row>
      <xdr:rowOff>79560</xdr:rowOff>
    </xdr:from>
    <xdr:to>
      <xdr:col>23</xdr:col>
      <xdr:colOff>493060</xdr:colOff>
      <xdr:row>32</xdr:row>
      <xdr:rowOff>112057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358589</xdr:colOff>
      <xdr:row>55</xdr:row>
      <xdr:rowOff>12326</xdr:rowOff>
    </xdr:from>
    <xdr:to>
      <xdr:col>23</xdr:col>
      <xdr:colOff>470648</xdr:colOff>
      <xdr:row>68</xdr:row>
      <xdr:rowOff>54909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375396</xdr:colOff>
      <xdr:row>16</xdr:row>
      <xdr:rowOff>45943</xdr:rowOff>
    </xdr:from>
    <xdr:to>
      <xdr:col>22</xdr:col>
      <xdr:colOff>672353</xdr:colOff>
      <xdr:row>32</xdr:row>
      <xdr:rowOff>78440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593912</xdr:colOff>
      <xdr:row>55</xdr:row>
      <xdr:rowOff>1120</xdr:rowOff>
    </xdr:from>
    <xdr:to>
      <xdr:col>23</xdr:col>
      <xdr:colOff>22412</xdr:colOff>
      <xdr:row>68</xdr:row>
      <xdr:rowOff>43703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1284755</xdr:colOff>
      <xdr:row>3</xdr:row>
      <xdr:rowOff>1121</xdr:rowOff>
    </xdr:from>
    <xdr:to>
      <xdr:col>22</xdr:col>
      <xdr:colOff>280147</xdr:colOff>
      <xdr:row>40</xdr:row>
      <xdr:rowOff>56030</xdr:rowOff>
    </xdr:to>
    <xdr:graphicFrame macro="">
      <xdr:nvGraphicFramePr>
        <xdr:cNvPr id="31" name="Wykres 1">
          <a:extLst>
            <a:ext uri="{FF2B5EF4-FFF2-40B4-BE49-F238E27FC236}">
              <a16:creationId xmlns:a16="http://schemas.microsoft.com/office/drawing/2014/main" id="{00000000-0008-0000-12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986</xdr:row>
          <xdr:rowOff>123825</xdr:rowOff>
        </xdr:from>
        <xdr:to>
          <xdr:col>1</xdr:col>
          <xdr:colOff>609600</xdr:colOff>
          <xdr:row>988</xdr:row>
          <xdr:rowOff>76200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12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985</xdr:row>
          <xdr:rowOff>57150</xdr:rowOff>
        </xdr:from>
        <xdr:to>
          <xdr:col>3</xdr:col>
          <xdr:colOff>180975</xdr:colOff>
          <xdr:row>990</xdr:row>
          <xdr:rowOff>47625</xdr:rowOff>
        </xdr:to>
        <xdr:sp macro="" textlink="">
          <xdr:nvSpPr>
            <xdr:cNvPr id="18435" name="Object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1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owalewo%20Pomorskie\oblicz\BEI%20Kowalew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IGSINSPACE\Lord%20Vader\Cieszyn%20PZ%20i%20PGN\efekt%20oblicz%20na%20podst%20proporcji%20Za&#322;&#261;cznik%201%20-%20BEI%20CIESZY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isja"/>
      <sheetName val="Z"/>
      <sheetName val="Założenia,wskaźniki, listy"/>
      <sheetName val="Budynki komunalne - baza "/>
      <sheetName val="Budynki komunalne - emisja"/>
      <sheetName val="Mieszk. wielorodz. - baza"/>
      <sheetName val="Mieszk. wielorodz. - emisja"/>
      <sheetName val="Oświetlenie uliczne"/>
      <sheetName val="Mieszk. jednorodz. - baza"/>
      <sheetName val="Mieszk. jednorodz. - emisja"/>
      <sheetName val="Przemy"/>
      <sheetName val="Budynki dział. gosp. - emisja"/>
      <sheetName val="Przemysł, pozostałe - emisja"/>
      <sheetName val="Arkusz2"/>
      <sheetName val="Transport - emisja"/>
      <sheetName val="Energia łącznie"/>
      <sheetName val="Struktura paliw łącznie"/>
      <sheetName val="Łączna emisja"/>
      <sheetName val="Efekt ekologiczny - MEI"/>
      <sheetName val="Założenia scenariusza BaU"/>
      <sheetName val="Energia łącznie - BaU"/>
      <sheetName val="Łączna emisja - BaU"/>
      <sheetName val="Efekt ekologiczny -MEI"/>
      <sheetName val="Prezentacja wyników - MWh"/>
      <sheetName val="Prezentacja wyników - CO2"/>
      <sheetName val="Arkusz1"/>
    </sheetNames>
    <sheetDataSet>
      <sheetData sheetId="0"/>
      <sheetData sheetId="1"/>
      <sheetData sheetId="2"/>
      <sheetData sheetId="3"/>
      <sheetData sheetId="4">
        <row r="6">
          <cell r="D6">
            <v>338.42</v>
          </cell>
        </row>
        <row r="14">
          <cell r="AD14">
            <v>8763.7158999999992</v>
          </cell>
        </row>
      </sheetData>
      <sheetData sheetId="5"/>
      <sheetData sheetId="6">
        <row r="6">
          <cell r="D6">
            <v>246.49999999999997</v>
          </cell>
        </row>
        <row r="14">
          <cell r="AD14">
            <v>9286.4</v>
          </cell>
        </row>
      </sheetData>
      <sheetData sheetId="7"/>
      <sheetData sheetId="8"/>
      <sheetData sheetId="9">
        <row r="6">
          <cell r="D6">
            <v>4990.8</v>
          </cell>
        </row>
        <row r="11">
          <cell r="AC11">
            <v>5967.8</v>
          </cell>
        </row>
        <row r="12">
          <cell r="AC12">
            <v>49577.520000000004</v>
          </cell>
        </row>
        <row r="13">
          <cell r="AC13">
            <v>83971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4">
          <cell r="P4">
            <v>250603.50256551057</v>
          </cell>
        </row>
        <row r="5">
          <cell r="P5">
            <v>9479</v>
          </cell>
        </row>
        <row r="6">
          <cell r="P6">
            <v>29165.621499999994</v>
          </cell>
        </row>
        <row r="7">
          <cell r="P7">
            <v>28967.743856442041</v>
          </cell>
        </row>
        <row r="8">
          <cell r="P8">
            <v>11051.28361826893</v>
          </cell>
        </row>
        <row r="9">
          <cell r="P9">
            <v>16260.403942576815</v>
          </cell>
        </row>
        <row r="10">
          <cell r="P10">
            <v>1999.3802142467803</v>
          </cell>
        </row>
        <row r="11">
          <cell r="P11">
            <v>1511.4761713974242</v>
          </cell>
        </row>
        <row r="12">
          <cell r="P12">
            <v>1419.6702142467802</v>
          </cell>
        </row>
      </sheetData>
      <sheetData sheetId="17">
        <row r="12">
          <cell r="C12">
            <v>75.606774481928852</v>
          </cell>
          <cell r="D12">
            <v>69.200757745609508</v>
          </cell>
          <cell r="E12">
            <v>39083.386234701582</v>
          </cell>
          <cell r="F12">
            <v>7.2299904056553649E-2</v>
          </cell>
          <cell r="G12">
            <v>228.29864416814203</v>
          </cell>
          <cell r="H12">
            <v>47.823747202444515</v>
          </cell>
          <cell r="I12">
            <v>512.15341494545373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isja"/>
      <sheetName val="Z"/>
      <sheetName val="Założenia,wskaźniki, listy"/>
      <sheetName val="Budynki komunalne - baza "/>
      <sheetName val="Budynki komunalne - emisja"/>
      <sheetName val="Mieszk. wielorodz. - baza"/>
      <sheetName val="Mieszk. wielorodz. - emisja"/>
      <sheetName val="Oświetlenie uliczne"/>
      <sheetName val="Mieszkalne - baza"/>
      <sheetName val="Zainteresowanie inwestycjami"/>
      <sheetName val="Mieszkalne - emisja"/>
      <sheetName val="Przemy"/>
      <sheetName val="Budynki dział. gosp. - emisja"/>
      <sheetName val="Przemysł, pozostałe - emisja"/>
      <sheetName val="Arkusz2"/>
      <sheetName val="Transport - emisja"/>
      <sheetName val="Energia łącznie"/>
      <sheetName val="Struktura paliw łącznie"/>
      <sheetName val="Łączna emisja"/>
      <sheetName val="Efekt ekologiczny - MEI"/>
      <sheetName val="Arkusz3"/>
      <sheetName val="Założenia scenariusza BaU"/>
      <sheetName val="Energia łącznie - BaU"/>
      <sheetName val="Łączna emisja - BaU"/>
      <sheetName val="Efekt ekologiczny -MEI"/>
      <sheetName val="Prezentacja wyników - MWh"/>
      <sheetName val="Prezentacja wyników - CO2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C6">
            <v>19474.678342160056</v>
          </cell>
        </row>
      </sheetData>
      <sheetData sheetId="13"/>
      <sheetData sheetId="14"/>
      <sheetData sheetId="15"/>
      <sheetData sheetId="16"/>
      <sheetData sheetId="17">
        <row r="24">
          <cell r="M24">
            <v>55222.8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image" Target="../media/image2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110"/>
  <sheetViews>
    <sheetView topLeftCell="A52" workbookViewId="0">
      <selection activeCell="E72" sqref="E72"/>
    </sheetView>
  </sheetViews>
  <sheetFormatPr defaultRowHeight="12.75"/>
  <cols>
    <col min="2" max="2" width="11" customWidth="1"/>
    <col min="3" max="7" width="15.7109375" customWidth="1"/>
    <col min="8" max="8" width="25" customWidth="1"/>
    <col min="9" max="9" width="10" bestFit="1" customWidth="1"/>
    <col min="11" max="11" width="11" bestFit="1" customWidth="1"/>
    <col min="13" max="13" width="13.85546875" customWidth="1"/>
    <col min="14" max="14" width="11.140625" customWidth="1"/>
  </cols>
  <sheetData>
    <row r="3" spans="1:14">
      <c r="A3" t="s">
        <v>16</v>
      </c>
    </row>
    <row r="4" spans="1:14">
      <c r="B4" s="1025" t="s">
        <v>5</v>
      </c>
      <c r="C4" s="1025"/>
      <c r="D4" s="1025"/>
      <c r="E4" s="1025"/>
      <c r="F4" s="1025"/>
      <c r="I4" s="2" t="s">
        <v>6</v>
      </c>
    </row>
    <row r="5" spans="1:14">
      <c r="A5" t="s">
        <v>0</v>
      </c>
      <c r="B5">
        <v>2978</v>
      </c>
      <c r="C5">
        <v>1392</v>
      </c>
      <c r="E5">
        <v>10776</v>
      </c>
      <c r="F5">
        <v>1280</v>
      </c>
      <c r="H5">
        <f>SUM(B5:G5)</f>
        <v>16426</v>
      </c>
      <c r="I5" s="3">
        <f>H5/$H$12*100</f>
        <v>14.845543444860185</v>
      </c>
      <c r="J5">
        <v>10</v>
      </c>
      <c r="K5" s="1">
        <v>26</v>
      </c>
    </row>
    <row r="6" spans="1:14">
      <c r="A6" t="s">
        <v>1</v>
      </c>
      <c r="B6">
        <v>675</v>
      </c>
      <c r="C6">
        <v>14912</v>
      </c>
      <c r="E6">
        <v>26335</v>
      </c>
      <c r="H6">
        <f>SUM(B6:G6)</f>
        <v>41922</v>
      </c>
      <c r="I6" s="3">
        <f>H6/$H$12*100</f>
        <v>37.888400845941113</v>
      </c>
      <c r="K6">
        <v>29</v>
      </c>
    </row>
    <row r="7" spans="1:14">
      <c r="A7" t="s">
        <v>2</v>
      </c>
      <c r="C7">
        <v>1409</v>
      </c>
      <c r="D7">
        <v>2500</v>
      </c>
      <c r="E7">
        <v>31563</v>
      </c>
      <c r="F7">
        <v>7631</v>
      </c>
      <c r="G7">
        <v>3825</v>
      </c>
      <c r="H7">
        <f>SUM(B7:G7)</f>
        <v>46928</v>
      </c>
      <c r="I7" s="3">
        <f>H7/$H$12*100</f>
        <v>42.412739728503517</v>
      </c>
      <c r="K7">
        <v>33</v>
      </c>
    </row>
    <row r="8" spans="1:14">
      <c r="A8" t="s">
        <v>3</v>
      </c>
      <c r="E8">
        <v>4750</v>
      </c>
      <c r="H8">
        <f>SUM(B8:G8)</f>
        <v>4750</v>
      </c>
      <c r="I8" s="3">
        <f>H8/$H$12*100</f>
        <v>4.2929703739855034</v>
      </c>
      <c r="K8">
        <v>9</v>
      </c>
    </row>
    <row r="9" spans="1:14">
      <c r="A9" t="s">
        <v>4</v>
      </c>
      <c r="B9">
        <v>620</v>
      </c>
      <c r="H9">
        <f>SUM(B9:G9)</f>
        <v>620</v>
      </c>
      <c r="I9" s="3">
        <f>H9/$H$12*100</f>
        <v>0.56034560670968681</v>
      </c>
      <c r="K9">
        <v>3</v>
      </c>
    </row>
    <row r="11" spans="1:14">
      <c r="E11">
        <f>385*0.3</f>
        <v>115.5</v>
      </c>
    </row>
    <row r="12" spans="1:14">
      <c r="H12">
        <f>SUM(H5:H11)</f>
        <v>110646</v>
      </c>
    </row>
    <row r="13" spans="1:14" ht="15.75" thickBot="1">
      <c r="M13" s="37">
        <v>369204</v>
      </c>
      <c r="N13" s="35">
        <f>M13</f>
        <v>369204</v>
      </c>
    </row>
    <row r="14" spans="1:14" ht="15.75" thickBot="1">
      <c r="M14" s="37">
        <v>46459.519999999997</v>
      </c>
    </row>
    <row r="15" spans="1:14" ht="15.75" thickBot="1">
      <c r="M15" s="37">
        <v>533.54999999999995</v>
      </c>
    </row>
    <row r="16" spans="1:14" ht="15.75" thickBot="1">
      <c r="A16" s="4">
        <v>1</v>
      </c>
      <c r="B16" s="5">
        <v>2</v>
      </c>
      <c r="C16" s="1026">
        <v>3</v>
      </c>
      <c r="D16" s="1027"/>
      <c r="E16" s="5">
        <v>4</v>
      </c>
      <c r="M16" s="37">
        <v>12419.93</v>
      </c>
    </row>
    <row r="17" spans="1:15" ht="15.75" customHeight="1">
      <c r="A17" s="1028" t="s">
        <v>7</v>
      </c>
      <c r="B17" s="1028" t="s">
        <v>8</v>
      </c>
      <c r="C17" s="1032" t="s">
        <v>9</v>
      </c>
      <c r="D17" s="1033"/>
      <c r="E17" s="1030" t="s">
        <v>10</v>
      </c>
      <c r="M17" s="77">
        <f>SUM(M12:M16)</f>
        <v>428617</v>
      </c>
      <c r="N17">
        <f>M17*0.15</f>
        <v>64292.549999999996</v>
      </c>
    </row>
    <row r="18" spans="1:15" ht="15.75" customHeight="1" thickBot="1">
      <c r="A18" s="1029"/>
      <c r="B18" s="1029"/>
      <c r="C18" s="1034"/>
      <c r="D18" s="1035"/>
      <c r="E18" s="1031"/>
      <c r="I18" s="36">
        <v>2572.9299999999998</v>
      </c>
      <c r="J18" s="36">
        <v>9847</v>
      </c>
      <c r="K18">
        <f>I18+J18</f>
        <v>12419.93</v>
      </c>
      <c r="M18" s="77">
        <f>SUM(M13:M17)</f>
        <v>857234</v>
      </c>
    </row>
    <row r="19" spans="1:15" ht="15.75" thickBot="1">
      <c r="A19" s="6" t="s">
        <v>11</v>
      </c>
      <c r="B19" s="6">
        <v>300</v>
      </c>
      <c r="C19" s="1020">
        <v>0.1</v>
      </c>
      <c r="D19" s="1021"/>
      <c r="E19" s="1022">
        <f>F24</f>
        <v>165.56</v>
      </c>
      <c r="F19">
        <f>B19*C19</f>
        <v>30</v>
      </c>
      <c r="G19" s="38" t="s">
        <v>30</v>
      </c>
      <c r="H19" s="71" t="s">
        <v>65</v>
      </c>
      <c r="I19" s="72">
        <v>0.11</v>
      </c>
    </row>
    <row r="20" spans="1:15" ht="25.5" customHeight="1" thickBot="1">
      <c r="A20" s="7" t="s">
        <v>12</v>
      </c>
      <c r="B20" s="8">
        <v>200</v>
      </c>
      <c r="C20" s="1020">
        <v>0.31730000000000003</v>
      </c>
      <c r="D20" s="1021"/>
      <c r="E20" s="1023"/>
      <c r="F20">
        <f>B20*C20</f>
        <v>63.460000000000008</v>
      </c>
      <c r="G20" s="38" t="s">
        <v>31</v>
      </c>
      <c r="H20" s="73" t="s">
        <v>12</v>
      </c>
      <c r="I20" s="74">
        <v>0.37</v>
      </c>
      <c r="L20" s="80">
        <v>404506.2</v>
      </c>
      <c r="M20" s="80">
        <f>L20*0.25</f>
        <v>101126.55</v>
      </c>
      <c r="N20" s="81">
        <v>0.25</v>
      </c>
    </row>
    <row r="21" spans="1:15" ht="26.25" customHeight="1" thickBot="1">
      <c r="A21" s="9" t="s">
        <v>13</v>
      </c>
      <c r="B21" s="9">
        <v>170</v>
      </c>
      <c r="C21" s="1020">
        <v>0.15</v>
      </c>
      <c r="D21" s="1021"/>
      <c r="E21" s="1023"/>
      <c r="F21">
        <f>B21*C21</f>
        <v>25.5</v>
      </c>
      <c r="G21" s="38" t="s">
        <v>30</v>
      </c>
      <c r="H21" s="73" t="s">
        <v>13</v>
      </c>
      <c r="I21" s="74">
        <v>0.27</v>
      </c>
      <c r="K21" s="65" t="s">
        <v>66</v>
      </c>
      <c r="L21" s="82">
        <f>M20*90</f>
        <v>9101389.5</v>
      </c>
      <c r="M21" s="83">
        <f>L21*0.0036</f>
        <v>32765.002199999999</v>
      </c>
      <c r="N21" s="65" t="s">
        <v>18</v>
      </c>
    </row>
    <row r="22" spans="1:15" ht="13.5" thickBot="1">
      <c r="A22" s="9" t="s">
        <v>14</v>
      </c>
      <c r="B22" s="9">
        <v>130</v>
      </c>
      <c r="C22" s="1020">
        <v>0.12</v>
      </c>
      <c r="D22" s="1021"/>
      <c r="E22" s="1023"/>
      <c r="F22">
        <f>B22*C22</f>
        <v>15.6</v>
      </c>
      <c r="G22" s="38" t="s">
        <v>32</v>
      </c>
      <c r="H22" s="73" t="s">
        <v>14</v>
      </c>
      <c r="I22" s="74">
        <v>0.09</v>
      </c>
    </row>
    <row r="23" spans="1:15" ht="13.5" thickBot="1">
      <c r="A23" s="9" t="s">
        <v>15</v>
      </c>
      <c r="B23" s="9">
        <v>100</v>
      </c>
      <c r="C23" s="1020">
        <v>0.31</v>
      </c>
      <c r="D23" s="1021"/>
      <c r="E23" s="1024"/>
      <c r="F23">
        <f>B23*C23</f>
        <v>31</v>
      </c>
      <c r="G23" s="38" t="s">
        <v>33</v>
      </c>
      <c r="H23" s="75" t="s">
        <v>15</v>
      </c>
      <c r="I23" s="76">
        <v>0.16</v>
      </c>
    </row>
    <row r="24" spans="1:15" ht="15">
      <c r="F24" s="1">
        <f>SUM(F19:F23)</f>
        <v>165.56</v>
      </c>
      <c r="G24" s="38" t="s">
        <v>34</v>
      </c>
      <c r="J24" s="40">
        <v>3964.7</v>
      </c>
      <c r="K24" s="40">
        <v>4583.5</v>
      </c>
      <c r="M24" s="41">
        <f>(K24-J24)/J24</f>
        <v>0.15607738290412898</v>
      </c>
    </row>
    <row r="25" spans="1:15">
      <c r="J25">
        <v>9.5</v>
      </c>
      <c r="K25">
        <v>12.2</v>
      </c>
      <c r="M25">
        <f>(K25-J25)/J25</f>
        <v>0.28421052631578941</v>
      </c>
    </row>
    <row r="26" spans="1:15" ht="38.25">
      <c r="B26" s="10" t="s">
        <v>17</v>
      </c>
      <c r="D26" t="s">
        <v>19</v>
      </c>
      <c r="E26" t="s">
        <v>18</v>
      </c>
    </row>
    <row r="27" spans="1:15" ht="13.5" thickBot="1">
      <c r="F27" s="31">
        <v>0.3</v>
      </c>
      <c r="I27">
        <v>280</v>
      </c>
      <c r="J27">
        <v>1487000</v>
      </c>
      <c r="K27">
        <f>I27*J27</f>
        <v>416360000</v>
      </c>
      <c r="L27">
        <f>K27*0.0036</f>
        <v>1498896</v>
      </c>
    </row>
    <row r="28" spans="1:15" ht="13.5" thickBot="1">
      <c r="B28" s="12">
        <v>511329</v>
      </c>
      <c r="D28">
        <f t="shared" ref="D28:D33" si="0">B28*$E$19</f>
        <v>84655629.239999995</v>
      </c>
      <c r="E28" s="11">
        <f t="shared" ref="E28:E34" si="1">D28*0.0036</f>
        <v>304760.26526399999</v>
      </c>
      <c r="F28">
        <f>E28*0.3</f>
        <v>91428.079579199999</v>
      </c>
    </row>
    <row r="29" spans="1:15" ht="13.5" thickBot="1">
      <c r="B29" s="13">
        <v>86306</v>
      </c>
      <c r="D29">
        <f t="shared" si="0"/>
        <v>14288821.359999999</v>
      </c>
      <c r="E29" s="11">
        <f t="shared" si="1"/>
        <v>51439.756895999999</v>
      </c>
    </row>
    <row r="30" spans="1:15" ht="13.5" thickBot="1">
      <c r="B30" s="14">
        <v>22202</v>
      </c>
      <c r="D30">
        <f t="shared" si="0"/>
        <v>3675763.12</v>
      </c>
      <c r="E30" s="11">
        <f t="shared" si="1"/>
        <v>13232.747232</v>
      </c>
      <c r="M30">
        <v>140000</v>
      </c>
      <c r="N30">
        <v>713000</v>
      </c>
      <c r="O30">
        <f>M30/N30</f>
        <v>0.19635343618513323</v>
      </c>
    </row>
    <row r="31" spans="1:15" ht="13.5" thickBot="1">
      <c r="B31" s="14">
        <v>79434</v>
      </c>
      <c r="D31">
        <f t="shared" si="0"/>
        <v>13151093.040000001</v>
      </c>
      <c r="E31" s="11">
        <f t="shared" si="1"/>
        <v>47343.934944000001</v>
      </c>
      <c r="M31">
        <f>M30*N31/N30</f>
        <v>83767.713884992991</v>
      </c>
      <c r="N31" s="35">
        <v>426617</v>
      </c>
    </row>
    <row r="32" spans="1:15">
      <c r="B32" s="18">
        <v>14418</v>
      </c>
      <c r="D32">
        <f t="shared" si="0"/>
        <v>2387044.08</v>
      </c>
      <c r="E32" s="11">
        <f t="shared" si="1"/>
        <v>8593.3586880000003</v>
      </c>
    </row>
    <row r="33" spans="2:19">
      <c r="B33" s="15">
        <f>SUM(B28:B32)</f>
        <v>713689</v>
      </c>
      <c r="C33" s="16"/>
      <c r="D33">
        <f t="shared" si="0"/>
        <v>118158350.84</v>
      </c>
      <c r="E33" s="17">
        <f t="shared" si="1"/>
        <v>425370.06302399997</v>
      </c>
      <c r="F33">
        <v>506785.46008282353</v>
      </c>
      <c r="G33">
        <f>E33*1.05</f>
        <v>446638.56617519999</v>
      </c>
      <c r="H33" s="33">
        <v>528053.96323402354</v>
      </c>
      <c r="I33">
        <f>145*2294456</f>
        <v>332696120</v>
      </c>
      <c r="J33">
        <f>I33*0.0036</f>
        <v>1197706.0319999999</v>
      </c>
      <c r="K33">
        <f>J33/1000</f>
        <v>1197.7060319999998</v>
      </c>
      <c r="N33" s="39">
        <f>0.3*N31</f>
        <v>127985.09999999999</v>
      </c>
      <c r="O33" s="39">
        <f>N33*0.4</f>
        <v>51194.04</v>
      </c>
    </row>
    <row r="34" spans="2:19">
      <c r="D34">
        <f>D33/1000</f>
        <v>118158.35084</v>
      </c>
      <c r="E34" s="11">
        <f t="shared" si="1"/>
        <v>425.37006302399999</v>
      </c>
      <c r="O34">
        <f>O33*0.00036</f>
        <v>18.4298544</v>
      </c>
    </row>
    <row r="36" spans="2:19">
      <c r="I36" s="44" t="s">
        <v>48</v>
      </c>
      <c r="J36" s="39"/>
      <c r="K36" s="39"/>
      <c r="N36">
        <f>385000*0.2</f>
        <v>77000</v>
      </c>
    </row>
    <row r="37" spans="2:19">
      <c r="B37" t="s">
        <v>20</v>
      </c>
      <c r="G37">
        <f>211.4*713689</f>
        <v>150873854.59999999</v>
      </c>
      <c r="H37">
        <f>G37*0.0036</f>
        <v>543145.87656</v>
      </c>
    </row>
    <row r="38" spans="2:19">
      <c r="B38" t="s">
        <v>21</v>
      </c>
    </row>
    <row r="39" spans="2:19">
      <c r="B39" t="s">
        <v>22</v>
      </c>
    </row>
    <row r="40" spans="2:19">
      <c r="B40" s="19">
        <v>140000</v>
      </c>
      <c r="C40" s="19"/>
      <c r="D40" s="19">
        <f>B40*100</f>
        <v>14000000</v>
      </c>
      <c r="E40" s="19">
        <f>D40*0.0036</f>
        <v>50400</v>
      </c>
      <c r="H40" s="38">
        <f>0.095/911</f>
        <v>1.0428100987925357E-4</v>
      </c>
    </row>
    <row r="41" spans="2:19">
      <c r="B41" s="16" t="s">
        <v>27</v>
      </c>
    </row>
    <row r="42" spans="2:19" ht="13.5" thickBot="1"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2:19">
      <c r="B43" s="39" t="s">
        <v>23</v>
      </c>
      <c r="C43" s="39"/>
      <c r="E43">
        <f>385000/(3.6*24*222)</f>
        <v>20.072155488822151</v>
      </c>
      <c r="F43" s="38" t="s">
        <v>49</v>
      </c>
      <c r="G43">
        <f>E43/(3.6*24*222)</f>
        <v>1.0464712362790994E-3</v>
      </c>
    </row>
    <row r="44" spans="2:19">
      <c r="B44" s="39" t="s">
        <v>24</v>
      </c>
      <c r="C44" s="39"/>
    </row>
    <row r="45" spans="2:19">
      <c r="E45">
        <f>222*3.6*24</f>
        <v>19180.800000000003</v>
      </c>
    </row>
    <row r="46" spans="2:19">
      <c r="F46">
        <v>9000</v>
      </c>
      <c r="G46">
        <f>30000/F46</f>
        <v>3.3333333333333335</v>
      </c>
    </row>
    <row r="47" spans="2:19" ht="13.5" thickBot="1">
      <c r="C47">
        <v>24100</v>
      </c>
      <c r="D47">
        <f>2/1000</f>
        <v>2E-3</v>
      </c>
      <c r="F47">
        <v>9000</v>
      </c>
      <c r="G47">
        <f>30000/F47</f>
        <v>3.3333333333333335</v>
      </c>
    </row>
    <row r="48" spans="2:19" ht="13.5" thickBot="1">
      <c r="C48">
        <f>C47*D47</f>
        <v>48.2</v>
      </c>
      <c r="I48" s="22" t="s">
        <v>25</v>
      </c>
      <c r="J48" s="22">
        <v>2007</v>
      </c>
      <c r="K48" s="22">
        <v>2010</v>
      </c>
      <c r="L48" s="22">
        <v>2015</v>
      </c>
      <c r="M48" s="23">
        <v>2020</v>
      </c>
      <c r="N48" s="24">
        <v>2025</v>
      </c>
    </row>
    <row r="49" spans="2:14" ht="13.5" thickBot="1">
      <c r="B49" s="42" t="s">
        <v>25</v>
      </c>
      <c r="C49" s="42">
        <v>2011</v>
      </c>
      <c r="D49" s="86">
        <v>2015</v>
      </c>
      <c r="E49" s="86">
        <v>2020</v>
      </c>
      <c r="F49" s="87">
        <v>2025</v>
      </c>
      <c r="G49" s="88">
        <v>2030</v>
      </c>
      <c r="H49" s="79"/>
      <c r="I49" s="25"/>
      <c r="J49" s="25"/>
      <c r="K49" s="25"/>
      <c r="L49" s="25"/>
      <c r="M49" s="25"/>
      <c r="N49" s="32"/>
    </row>
    <row r="50" spans="2:14" ht="53.25" thickBot="1">
      <c r="B50" s="43" t="s">
        <v>29</v>
      </c>
      <c r="C50" s="94">
        <f>C51/F47</f>
        <v>6.7978976146428582</v>
      </c>
      <c r="D50" s="95">
        <f>D51/$F$46</f>
        <v>6.9338555669357156</v>
      </c>
      <c r="E50" s="95">
        <f>E51/$F$46</f>
        <v>7.0018345430821443</v>
      </c>
      <c r="F50" s="95">
        <f>F51/$F$46</f>
        <v>6.9678450550089286</v>
      </c>
      <c r="G50" s="95">
        <f>G51/$F$46</f>
        <v>99.758256949999975</v>
      </c>
      <c r="H50" s="89">
        <f>G50-C50</f>
        <v>92.960359335357111</v>
      </c>
      <c r="I50" s="25" t="s">
        <v>26</v>
      </c>
      <c r="J50" s="34">
        <v>8434000</v>
      </c>
      <c r="K50" s="26">
        <f>$J$50*K51</f>
        <v>8855700</v>
      </c>
      <c r="L50" s="26">
        <f>$J$50*L51</f>
        <v>9277400</v>
      </c>
      <c r="M50" s="26">
        <f>$J$50*M51</f>
        <v>9699100</v>
      </c>
      <c r="N50" s="26">
        <f>$J$50*N51</f>
        <v>10120800</v>
      </c>
    </row>
    <row r="51" spans="2:14" ht="52.5" thickBot="1">
      <c r="B51" s="43" t="s">
        <v>28</v>
      </c>
      <c r="C51" s="100">
        <f>'bilans OGOLEM'!P7</f>
        <v>61181.078531785723</v>
      </c>
      <c r="D51" s="101">
        <f>$C$51*D52</f>
        <v>62404.700102421441</v>
      </c>
      <c r="E51" s="101">
        <f>$C$51*E52</f>
        <v>63016.5108877393</v>
      </c>
      <c r="F51" s="101">
        <f>$C$51*F52</f>
        <v>62710.605495080359</v>
      </c>
      <c r="G51" s="101">
        <v>897824.3125499998</v>
      </c>
      <c r="H51" s="90">
        <f>M22</f>
        <v>0</v>
      </c>
      <c r="I51" s="25" t="s">
        <v>6</v>
      </c>
      <c r="J51" s="27">
        <v>1</v>
      </c>
      <c r="K51" s="27">
        <v>1.05</v>
      </c>
      <c r="L51" s="27">
        <v>1.1000000000000001</v>
      </c>
      <c r="M51" s="28">
        <v>1.1499999999999999</v>
      </c>
      <c r="N51" s="29">
        <v>1.2</v>
      </c>
    </row>
    <row r="52" spans="2:14" ht="13.5" thickBot="1">
      <c r="B52" s="43" t="s">
        <v>6</v>
      </c>
      <c r="C52" s="96">
        <v>1</v>
      </c>
      <c r="D52" s="97">
        <v>1.02</v>
      </c>
      <c r="E52" s="97">
        <v>1.03</v>
      </c>
      <c r="F52" s="98">
        <v>1.0249999999999999</v>
      </c>
      <c r="G52" s="99">
        <f>1+H52/C51</f>
        <v>14.674868997014304</v>
      </c>
      <c r="H52" s="93">
        <f>G51-C51</f>
        <v>836643.23401821405</v>
      </c>
    </row>
    <row r="53" spans="2:14">
      <c r="D53" s="79"/>
      <c r="E53" s="79"/>
      <c r="F53" s="79"/>
      <c r="G53" s="79">
        <f>C51-0.1*C51+M22</f>
        <v>55062.970678607147</v>
      </c>
      <c r="H53" s="79"/>
    </row>
    <row r="54" spans="2:14" ht="22.5" customHeight="1">
      <c r="B54">
        <f>1+C54</f>
        <v>0.89999999999999991</v>
      </c>
      <c r="C54">
        <f>(G53-C51)/C51</f>
        <v>-0.10000000000000005</v>
      </c>
      <c r="D54">
        <f>C51*B54</f>
        <v>55062.970678607147</v>
      </c>
      <c r="F54" s="30">
        <f>C51-G53</f>
        <v>6118.1078531785752</v>
      </c>
      <c r="H54">
        <v>198</v>
      </c>
    </row>
    <row r="56" spans="2:14" s="104" customFormat="1"/>
    <row r="57" spans="2:14" s="104" customFormat="1" ht="13.5" thickBot="1">
      <c r="B57" s="1019"/>
      <c r="C57" s="1019"/>
      <c r="D57" s="1019"/>
      <c r="E57" s="1019"/>
      <c r="F57" s="1019"/>
    </row>
    <row r="58" spans="2:14" s="104" customFormat="1" ht="13.5" thickBot="1">
      <c r="B58" s="42" t="s">
        <v>25</v>
      </c>
      <c r="C58" s="42">
        <v>2011</v>
      </c>
      <c r="D58" s="86">
        <v>2020</v>
      </c>
      <c r="E58" s="86">
        <v>2030</v>
      </c>
      <c r="F58" s="87">
        <v>2025</v>
      </c>
      <c r="G58" s="88">
        <v>2030</v>
      </c>
    </row>
    <row r="59" spans="2:14" s="104" customFormat="1" ht="13.5" thickBot="1">
      <c r="B59" s="43"/>
      <c r="C59" s="94">
        <v>6.25</v>
      </c>
      <c r="D59" s="95">
        <f>$C$59*D61</f>
        <v>6.8125000000000009</v>
      </c>
      <c r="E59" s="95">
        <f>$C$59*E61</f>
        <v>7.5</v>
      </c>
      <c r="F59" s="95">
        <f>F60/$F$46</f>
        <v>1.1061000000000001</v>
      </c>
      <c r="G59" s="95"/>
    </row>
    <row r="60" spans="2:14" s="104" customFormat="1" ht="12.75" customHeight="1" thickBot="1">
      <c r="B60" s="43" t="s">
        <v>28</v>
      </c>
      <c r="C60" s="288">
        <v>12290</v>
      </c>
      <c r="D60" s="101">
        <f>D61*$C$60</f>
        <v>13396.1</v>
      </c>
      <c r="E60" s="101">
        <f>E61*$C$60</f>
        <v>14748</v>
      </c>
      <c r="F60" s="101">
        <f>F61*$C$60</f>
        <v>9954.9000000000015</v>
      </c>
      <c r="G60" s="104">
        <v>533415.87701714283</v>
      </c>
    </row>
    <row r="61" spans="2:14" s="104" customFormat="1" ht="13.5" thickBot="1">
      <c r="B61" s="43" t="s">
        <v>6</v>
      </c>
      <c r="C61" s="96">
        <v>1</v>
      </c>
      <c r="D61" s="97">
        <v>1.0900000000000001</v>
      </c>
      <c r="E61" s="97">
        <v>1.2</v>
      </c>
      <c r="F61" s="98">
        <v>0.81</v>
      </c>
      <c r="G61" s="99">
        <f>1+H61/C60</f>
        <v>43.40243100220853</v>
      </c>
      <c r="H61" s="93">
        <f>G60-C60</f>
        <v>521125.87701714283</v>
      </c>
    </row>
    <row r="62" spans="2:14" s="104" customFormat="1"/>
    <row r="63" spans="2:14" s="104" customFormat="1">
      <c r="B63" s="103"/>
      <c r="C63" s="103"/>
      <c r="D63" s="103"/>
      <c r="E63" s="103"/>
      <c r="F63" s="103"/>
    </row>
    <row r="64" spans="2:14" s="104" customFormat="1"/>
    <row r="65" spans="2:7" s="104" customFormat="1">
      <c r="E65" s="105"/>
      <c r="G65" s="105"/>
    </row>
    <row r="66" spans="2:7" s="104" customFormat="1"/>
    <row r="67" spans="2:7" s="104" customFormat="1"/>
    <row r="68" spans="2:7" s="104" customFormat="1">
      <c r="B68" s="102"/>
      <c r="C68" s="103"/>
      <c r="D68" s="103"/>
      <c r="E68" s="103"/>
      <c r="F68" s="103"/>
      <c r="G68" s="103"/>
    </row>
    <row r="69" spans="2:7" s="104" customFormat="1">
      <c r="B69" s="106"/>
      <c r="C69" s="107"/>
      <c r="D69" s="107"/>
      <c r="E69" s="107"/>
      <c r="F69" s="107"/>
      <c r="G69" s="107"/>
    </row>
    <row r="70" spans="2:7" s="104" customFormat="1" ht="15">
      <c r="B70" s="106"/>
      <c r="C70" s="108"/>
      <c r="D70" s="108"/>
      <c r="E70" s="108"/>
      <c r="F70" s="108"/>
      <c r="G70" s="108"/>
    </row>
    <row r="71" spans="2:7" s="104" customFormat="1"/>
    <row r="72" spans="2:7" s="104" customFormat="1"/>
    <row r="73" spans="2:7" s="104" customFormat="1"/>
    <row r="74" spans="2:7" s="104" customFormat="1"/>
    <row r="75" spans="2:7" s="104" customFormat="1"/>
    <row r="76" spans="2:7" s="104" customFormat="1"/>
    <row r="77" spans="2:7" s="104" customFormat="1"/>
    <row r="78" spans="2:7" s="104" customFormat="1"/>
    <row r="79" spans="2:7" s="104" customFormat="1"/>
    <row r="80" spans="2:7" s="104" customFormat="1"/>
    <row r="81" spans="8:10" s="104" customFormat="1"/>
    <row r="96" spans="8:10">
      <c r="H96">
        <f>911/0.095</f>
        <v>9589.4736842105267</v>
      </c>
      <c r="J96">
        <f>222*24</f>
        <v>5328</v>
      </c>
    </row>
    <row r="98" spans="5:13">
      <c r="E98">
        <v>1.5</v>
      </c>
      <c r="F98">
        <v>12480</v>
      </c>
      <c r="H98">
        <f>F98/E98</f>
        <v>8320</v>
      </c>
    </row>
    <row r="102" spans="5:13">
      <c r="I102">
        <v>385000</v>
      </c>
      <c r="J102" s="38" t="s">
        <v>18</v>
      </c>
      <c r="K102">
        <f>I102*1000</f>
        <v>385000000</v>
      </c>
      <c r="L102" s="38" t="s">
        <v>50</v>
      </c>
      <c r="M102">
        <f>K102/3600/24/222</f>
        <v>20.072155488822155</v>
      </c>
    </row>
    <row r="103" spans="5:13">
      <c r="K103">
        <f>(M103*K102)/M102/1000</f>
        <v>3548448</v>
      </c>
      <c r="M103">
        <v>185</v>
      </c>
    </row>
    <row r="108" spans="5:13">
      <c r="H108">
        <v>68</v>
      </c>
      <c r="I108">
        <v>586000</v>
      </c>
      <c r="J108">
        <f>I108/H108</f>
        <v>8617.6470588235297</v>
      </c>
      <c r="L108">
        <f>I102/M102</f>
        <v>19180.8</v>
      </c>
      <c r="M108">
        <f>L108</f>
        <v>19180.8</v>
      </c>
    </row>
    <row r="110" spans="5:13">
      <c r="J110">
        <f>3600*24</f>
        <v>86400</v>
      </c>
    </row>
  </sheetData>
  <mergeCells count="13">
    <mergeCell ref="B4:F4"/>
    <mergeCell ref="C16:D16"/>
    <mergeCell ref="A17:A18"/>
    <mergeCell ref="B17:B18"/>
    <mergeCell ref="E17:E18"/>
    <mergeCell ref="C17:D18"/>
    <mergeCell ref="B57:F57"/>
    <mergeCell ref="C19:D19"/>
    <mergeCell ref="E19:E23"/>
    <mergeCell ref="C20:D20"/>
    <mergeCell ref="C21:D21"/>
    <mergeCell ref="C22:D22"/>
    <mergeCell ref="C23:D23"/>
  </mergeCells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E0967-0941-4EAE-8217-901C2861C6C9}">
  <sheetPr>
    <tabColor theme="9" tint="0.39997558519241921"/>
  </sheetPr>
  <dimension ref="A1:AA87"/>
  <sheetViews>
    <sheetView zoomScale="85" zoomScaleNormal="85" zoomScaleSheetLayoutView="85" workbookViewId="0">
      <pane ySplit="1" topLeftCell="A8" activePane="bottomLeft" state="frozen"/>
      <selection pane="bottomLeft" activeCell="N40" sqref="N40"/>
    </sheetView>
  </sheetViews>
  <sheetFormatPr defaultColWidth="10.28515625" defaultRowHeight="12"/>
  <cols>
    <col min="1" max="1" width="18.7109375" style="815" customWidth="1"/>
    <col min="2" max="2" width="11.7109375" style="815" customWidth="1"/>
    <col min="3" max="3" width="14.85546875" style="815" customWidth="1"/>
    <col min="4" max="4" width="11.42578125" style="815" bestFit="1" customWidth="1"/>
    <col min="5" max="5" width="14.28515625" style="815" bestFit="1" customWidth="1"/>
    <col min="6" max="6" width="12.28515625" style="815" bestFit="1" customWidth="1"/>
    <col min="7" max="7" width="7.5703125" style="815" bestFit="1" customWidth="1"/>
    <col min="8" max="8" width="12.28515625" style="815" bestFit="1" customWidth="1"/>
    <col min="9" max="9" width="7.5703125" style="815" bestFit="1" customWidth="1"/>
    <col min="10" max="10" width="10" style="815" bestFit="1" customWidth="1"/>
    <col min="11" max="11" width="10.28515625" style="815"/>
    <col min="12" max="12" width="21.85546875" style="815" bestFit="1" customWidth="1"/>
    <col min="13" max="13" width="16.5703125" style="815" customWidth="1"/>
    <col min="14" max="15" width="13" style="815" customWidth="1"/>
    <col min="16" max="16" width="10.28515625" style="815"/>
    <col min="17" max="17" width="10.28515625" style="890"/>
    <col min="18" max="18" width="18.7109375" style="890" customWidth="1"/>
    <col min="19" max="19" width="11.7109375" style="890" customWidth="1"/>
    <col min="20" max="20" width="14.85546875" style="890" customWidth="1"/>
    <col min="21" max="21" width="11.5703125" style="890" customWidth="1"/>
    <col min="22" max="22" width="8.5703125" style="890" bestFit="1" customWidth="1"/>
    <col min="23" max="23" width="12.28515625" style="890" bestFit="1" customWidth="1"/>
    <col min="24" max="24" width="12.42578125" style="890" bestFit="1" customWidth="1"/>
    <col min="25" max="25" width="12.28515625" style="890" bestFit="1" customWidth="1"/>
    <col min="26" max="26" width="7.5703125" style="890" bestFit="1" customWidth="1"/>
    <col min="27" max="27" width="10" style="890" bestFit="1" customWidth="1"/>
    <col min="28" max="16384" width="10.28515625" style="815"/>
  </cols>
  <sheetData>
    <row r="1" spans="1:27" ht="21" customHeight="1">
      <c r="A1" s="1113" t="s">
        <v>636</v>
      </c>
      <c r="B1" s="1113"/>
      <c r="C1" s="1113"/>
      <c r="D1" s="1113"/>
      <c r="E1" s="1113"/>
      <c r="F1" s="1113"/>
      <c r="G1" s="1113"/>
      <c r="H1" s="1113"/>
      <c r="I1" s="1113"/>
      <c r="J1" s="1113"/>
      <c r="K1" s="1113"/>
      <c r="L1" s="1113"/>
      <c r="M1" s="1113"/>
      <c r="N1" s="1113"/>
      <c r="O1" s="1113"/>
      <c r="R1" s="1141" t="s">
        <v>628</v>
      </c>
      <c r="S1" s="1141"/>
      <c r="T1" s="1141"/>
      <c r="U1" s="1141"/>
      <c r="V1" s="1141"/>
      <c r="W1" s="1141"/>
      <c r="X1" s="1141"/>
      <c r="Y1" s="1141"/>
      <c r="Z1" s="1141"/>
      <c r="AA1" s="1141"/>
    </row>
    <row r="2" spans="1:27" ht="15">
      <c r="A2" s="1117" t="s">
        <v>329</v>
      </c>
      <c r="B2" s="1117"/>
      <c r="C2" s="1117"/>
      <c r="D2" s="1117"/>
      <c r="E2" s="1117"/>
      <c r="F2" s="1117"/>
      <c r="G2" s="1117"/>
      <c r="H2" s="1117"/>
      <c r="I2" s="1117"/>
      <c r="J2" s="1117"/>
      <c r="R2" s="1138" t="s">
        <v>329</v>
      </c>
      <c r="S2" s="1138"/>
      <c r="T2" s="1138"/>
      <c r="U2" s="1138"/>
      <c r="V2" s="1138"/>
      <c r="W2" s="1138"/>
      <c r="X2" s="1138"/>
      <c r="Y2" s="1138"/>
      <c r="Z2" s="1138"/>
      <c r="AA2" s="1138"/>
    </row>
    <row r="3" spans="1:27">
      <c r="A3" s="1127" t="s">
        <v>582</v>
      </c>
      <c r="B3" s="1128"/>
      <c r="C3" s="1129"/>
      <c r="D3" s="1119" t="s">
        <v>583</v>
      </c>
      <c r="E3" s="1119"/>
      <c r="F3" s="1119"/>
      <c r="G3" s="1119"/>
      <c r="H3" s="1119"/>
      <c r="I3" s="1119"/>
      <c r="J3" s="1119"/>
      <c r="R3" s="1139" t="s">
        <v>582</v>
      </c>
      <c r="S3" s="1139"/>
      <c r="T3" s="1139"/>
      <c r="U3" s="1140" t="s">
        <v>583</v>
      </c>
      <c r="V3" s="1140"/>
      <c r="W3" s="1140"/>
      <c r="X3" s="1140"/>
      <c r="Y3" s="1140"/>
      <c r="Z3" s="1140"/>
      <c r="AA3" s="1140"/>
    </row>
    <row r="4" spans="1:27" s="816" customFormat="1" ht="46.5" customHeight="1">
      <c r="A4" s="1120" t="s">
        <v>516</v>
      </c>
      <c r="B4" s="1122" t="s">
        <v>591</v>
      </c>
      <c r="C4" s="1120" t="s">
        <v>594</v>
      </c>
      <c r="D4" s="1119"/>
      <c r="E4" s="1119"/>
      <c r="F4" s="1119"/>
      <c r="G4" s="1119"/>
      <c r="H4" s="1119"/>
      <c r="I4" s="1119"/>
      <c r="J4" s="1119"/>
      <c r="L4" s="1125" t="s">
        <v>592</v>
      </c>
      <c r="M4" s="1125"/>
      <c r="N4" s="1125"/>
      <c r="O4" s="817" t="s">
        <v>593</v>
      </c>
      <c r="P4" s="815"/>
      <c r="Q4" s="891"/>
      <c r="R4" s="1132" t="s">
        <v>516</v>
      </c>
      <c r="S4" s="1134" t="s">
        <v>591</v>
      </c>
      <c r="T4" s="1132" t="s">
        <v>594</v>
      </c>
      <c r="U4" s="1140"/>
      <c r="V4" s="1140"/>
      <c r="W4" s="1140"/>
      <c r="X4" s="1140"/>
      <c r="Y4" s="1140"/>
      <c r="Z4" s="1140"/>
      <c r="AA4" s="1140"/>
    </row>
    <row r="5" spans="1:27" s="816" customFormat="1" ht="14.25" customHeight="1">
      <c r="A5" s="1121"/>
      <c r="B5" s="1122"/>
      <c r="C5" s="1121"/>
      <c r="D5" s="819" t="s">
        <v>560</v>
      </c>
      <c r="E5" s="819" t="s">
        <v>561</v>
      </c>
      <c r="F5" s="819" t="s">
        <v>584</v>
      </c>
      <c r="G5" s="819" t="s">
        <v>461</v>
      </c>
      <c r="H5" s="819" t="s">
        <v>569</v>
      </c>
      <c r="I5" s="820" t="s">
        <v>571</v>
      </c>
      <c r="J5" s="819" t="s">
        <v>363</v>
      </c>
      <c r="L5" s="822" t="s">
        <v>585</v>
      </c>
      <c r="M5" s="822" t="s">
        <v>586</v>
      </c>
      <c r="N5" s="822">
        <v>2020</v>
      </c>
      <c r="O5" s="821">
        <v>2016</v>
      </c>
      <c r="P5" s="815"/>
      <c r="Q5" s="891"/>
      <c r="R5" s="1133"/>
      <c r="S5" s="1134"/>
      <c r="T5" s="1133"/>
      <c r="U5" s="892" t="s">
        <v>560</v>
      </c>
      <c r="V5" s="892" t="s">
        <v>561</v>
      </c>
      <c r="W5" s="892" t="s">
        <v>584</v>
      </c>
      <c r="X5" s="892" t="s">
        <v>461</v>
      </c>
      <c r="Y5" s="892" t="s">
        <v>569</v>
      </c>
      <c r="Z5" s="893" t="s">
        <v>571</v>
      </c>
      <c r="AA5" s="892" t="s">
        <v>363</v>
      </c>
    </row>
    <row r="6" spans="1:27" ht="15" customHeight="1">
      <c r="A6" s="814" t="s">
        <v>479</v>
      </c>
      <c r="B6" s="823">
        <f>M6-M6*$D$69</f>
        <v>-2.0565066423023378E-13</v>
      </c>
      <c r="C6" s="1114">
        <f>'2022 Emisja opti'!C6</f>
        <v>338.42</v>
      </c>
      <c r="D6" s="824">
        <f>$B$6*Wskazniki!B37</f>
        <v>-4.6271399451802597E-17</v>
      </c>
      <c r="E6" s="824">
        <f>$B$6*Wskazniki!C37</f>
        <v>-4.133578351027699E-17</v>
      </c>
      <c r="F6" s="824">
        <f>$B$6*Wskazniki!D37</f>
        <v>-1.9277693264942112E-14</v>
      </c>
      <c r="G6" s="824">
        <f>$B$6*Wskazniki!E37</f>
        <v>-5.5525679342163121E-20</v>
      </c>
      <c r="H6" s="824">
        <f>$B$6*Wskazniki!F37</f>
        <v>-1.8508559780721039E-16</v>
      </c>
      <c r="I6" s="824">
        <f>$B$6*Wskazniki!G37</f>
        <v>-3.2492804948376935E-17</v>
      </c>
      <c r="J6" s="824">
        <f>$B$6*Wskazniki!H37</f>
        <v>-4.1369154628343852E-16</v>
      </c>
      <c r="L6" s="814" t="s">
        <v>479</v>
      </c>
      <c r="M6" s="825">
        <f>N6*$M$16</f>
        <v>-2.0565066423023378E-13</v>
      </c>
      <c r="N6" s="826">
        <f>100%-N7-N8-N9-N10-N11-N12-N13-N14</f>
        <v>-2.2551405187698492E-17</v>
      </c>
      <c r="O6" s="827">
        <f>'2022 Emisja opti'!O6</f>
        <v>0</v>
      </c>
      <c r="Q6" s="894">
        <f>B6+S6</f>
        <v>-2.0565066423023378E-13</v>
      </c>
      <c r="R6" s="895" t="s">
        <v>479</v>
      </c>
      <c r="S6" s="896">
        <f t="shared" ref="S6:S14" si="0">M6*$D$69</f>
        <v>0</v>
      </c>
      <c r="T6" s="1135"/>
      <c r="U6" s="897">
        <f>$S$6*Wskazniki!K37</f>
        <v>0</v>
      </c>
      <c r="V6" s="897">
        <f>$S$6*Wskazniki!L37</f>
        <v>0</v>
      </c>
      <c r="W6" s="897">
        <f>$S$6*Wskazniki!M37</f>
        <v>0</v>
      </c>
      <c r="X6" s="897">
        <f>$S$6*Wskazniki!N37</f>
        <v>0</v>
      </c>
      <c r="Y6" s="897">
        <f>$S$6*Wskazniki!O37</f>
        <v>0</v>
      </c>
      <c r="Z6" s="897">
        <f>$S$6*Wskazniki!P37</f>
        <v>0</v>
      </c>
      <c r="AA6" s="897">
        <f>$S$6*Wskazniki!Q37</f>
        <v>0</v>
      </c>
    </row>
    <row r="7" spans="1:27">
      <c r="A7" s="814" t="s">
        <v>480</v>
      </c>
      <c r="B7" s="823">
        <f t="shared" ref="B7:B14" si="1">M7-M7*$D$69</f>
        <v>3320.4353008682529</v>
      </c>
      <c r="C7" s="1115"/>
      <c r="D7" s="824">
        <f>Wskazniki!B38*'2022 Emisja zaniech'!$B$7</f>
        <v>0</v>
      </c>
      <c r="E7" s="824">
        <f>Wskazniki!C38*'2022 Emisja zaniech'!$B$7</f>
        <v>0</v>
      </c>
      <c r="F7" s="824">
        <f>Wskazniki!D38*'2022 Emisja zaniech'!$B$7</f>
        <v>0</v>
      </c>
      <c r="G7" s="824">
        <f>Wskazniki!E38*'2022 Emisja zaniech'!$B$7</f>
        <v>0</v>
      </c>
      <c r="H7" s="824">
        <f>Wskazniki!F38*'2022 Emisja zaniech'!$B$7</f>
        <v>0</v>
      </c>
      <c r="I7" s="824">
        <f>Wskazniki!G38*'2022 Emisja zaniech'!$B$7</f>
        <v>0</v>
      </c>
      <c r="J7" s="824">
        <f>Wskazniki!H38*'2022 Emisja zaniech'!$B$7</f>
        <v>0</v>
      </c>
      <c r="L7" s="814" t="str">
        <f>A7</f>
        <v>sieć ciepłownicza</v>
      </c>
      <c r="M7" s="825">
        <f t="shared" ref="M7:M15" si="2">N7*$M$16</f>
        <v>3320.4353008682529</v>
      </c>
      <c r="N7" s="828">
        <f>O7</f>
        <v>0.36411495265381666</v>
      </c>
      <c r="O7" s="827">
        <f>'2022 Emisja opti'!O7</f>
        <v>0.36411495265381666</v>
      </c>
      <c r="Q7" s="894">
        <f t="shared" ref="Q7:Q14" si="3">B7+S7</f>
        <v>3320.4353008682529</v>
      </c>
      <c r="R7" s="895" t="s">
        <v>480</v>
      </c>
      <c r="S7" s="896">
        <f t="shared" si="0"/>
        <v>0</v>
      </c>
      <c r="T7" s="1136"/>
      <c r="U7" s="897">
        <f>Wskazniki!AA38*'2032 Emisja opti'!$B$7</f>
        <v>0</v>
      </c>
      <c r="V7" s="897">
        <f>Wskazniki!AB38*'2032 Emisja opti'!$B$7</f>
        <v>0</v>
      </c>
      <c r="W7" s="897">
        <f>Wskazniki!AC38*'2032 Emisja opti'!$B$7</f>
        <v>0</v>
      </c>
      <c r="X7" s="897">
        <f>Wskazniki!AD38*'2032 Emisja opti'!$B$7</f>
        <v>0</v>
      </c>
      <c r="Y7" s="897">
        <f>Wskazniki!AE38*'2032 Emisja opti'!$B$7</f>
        <v>0</v>
      </c>
      <c r="Z7" s="897">
        <f>Wskazniki!AF38*'2032 Emisja opti'!$B$7</f>
        <v>0</v>
      </c>
      <c r="AA7" s="897">
        <f>Wskazniki!AG38*'2032 Emisja opti'!$B$7</f>
        <v>0</v>
      </c>
    </row>
    <row r="8" spans="1:27" ht="15" customHeight="1">
      <c r="A8" s="814" t="s">
        <v>331</v>
      </c>
      <c r="B8" s="823">
        <f>M8-M8*$D$69</f>
        <v>2060.190668798492</v>
      </c>
      <c r="C8" s="1115"/>
      <c r="D8" s="824">
        <f>$B$8*Wskazniki!B39</f>
        <v>1.0300953343992459E-3</v>
      </c>
      <c r="E8" s="824">
        <f>$B$8*Wskazniki!C39</f>
        <v>1.0300953343992459E-3</v>
      </c>
      <c r="F8" s="824">
        <f>$B$8*Wskazniki!D39</f>
        <v>114.99984313233182</v>
      </c>
      <c r="G8" s="824">
        <f>$B$8*Wskazniki!E39</f>
        <v>0</v>
      </c>
      <c r="H8" s="824">
        <f>$B$8*Wskazniki!F39</f>
        <v>1.0300953343992459E-3</v>
      </c>
      <c r="I8" s="824">
        <f>$B$8*Wskazniki!G39</f>
        <v>0.1030095334399246</v>
      </c>
      <c r="J8" s="824">
        <f>$B$8*Wskazniki!H39</f>
        <v>1.545143001598869E-2</v>
      </c>
      <c r="L8" s="814" t="s">
        <v>331</v>
      </c>
      <c r="M8" s="825">
        <f t="shared" si="2"/>
        <v>2060.190668798492</v>
      </c>
      <c r="N8" s="828">
        <f t="shared" ref="N8:N15" si="4">O8</f>
        <v>0.22591803780403244</v>
      </c>
      <c r="O8" s="827">
        <f>'2022 Emisja opti'!O8</f>
        <v>0.22591803780403244</v>
      </c>
      <c r="Q8" s="894">
        <f t="shared" si="3"/>
        <v>2060.190668798492</v>
      </c>
      <c r="R8" s="895" t="s">
        <v>331</v>
      </c>
      <c r="S8" s="896">
        <f t="shared" si="0"/>
        <v>0</v>
      </c>
      <c r="T8" s="1136"/>
      <c r="U8" s="897">
        <f>$B$8*Wskazniki!AA39</f>
        <v>0</v>
      </c>
      <c r="V8" s="897">
        <f>$B$8*Wskazniki!AB39</f>
        <v>0</v>
      </c>
      <c r="W8" s="897">
        <f>$B$8*Wskazniki!AC39</f>
        <v>0</v>
      </c>
      <c r="X8" s="897">
        <f>$B$8*Wskazniki!AD39</f>
        <v>0</v>
      </c>
      <c r="Y8" s="897">
        <f>$B$8*Wskazniki!AE39</f>
        <v>0</v>
      </c>
      <c r="Z8" s="897">
        <f>$B$8*Wskazniki!AF39</f>
        <v>0</v>
      </c>
      <c r="AA8" s="897">
        <f>$B$8*Wskazniki!AG39</f>
        <v>0</v>
      </c>
    </row>
    <row r="9" spans="1:27">
      <c r="A9" s="814" t="s">
        <v>335</v>
      </c>
      <c r="B9" s="823">
        <f t="shared" si="1"/>
        <v>0</v>
      </c>
      <c r="C9" s="1115"/>
      <c r="D9" s="824">
        <f>$B$9*Wskazniki!B40</f>
        <v>0</v>
      </c>
      <c r="E9" s="824">
        <f>$B$9*Wskazniki!C40</f>
        <v>0</v>
      </c>
      <c r="F9" s="824">
        <f>$B$9*Wskazniki!D40</f>
        <v>0</v>
      </c>
      <c r="G9" s="824">
        <f>$B$9*Wskazniki!E40</f>
        <v>0</v>
      </c>
      <c r="H9" s="824">
        <f>$B$9*Wskazniki!F40</f>
        <v>0</v>
      </c>
      <c r="I9" s="824">
        <f>$B$9*Wskazniki!G40</f>
        <v>0</v>
      </c>
      <c r="J9" s="824">
        <f>$B$9*Wskazniki!H40</f>
        <v>0</v>
      </c>
      <c r="L9" s="814" t="s">
        <v>335</v>
      </c>
      <c r="M9" s="825">
        <f t="shared" si="2"/>
        <v>0</v>
      </c>
      <c r="N9" s="828">
        <f t="shared" si="4"/>
        <v>0</v>
      </c>
      <c r="O9" s="827">
        <f>'2022 Emisja opti'!O9</f>
        <v>0</v>
      </c>
      <c r="Q9" s="894">
        <f t="shared" si="3"/>
        <v>0</v>
      </c>
      <c r="R9" s="895" t="s">
        <v>335</v>
      </c>
      <c r="S9" s="896">
        <f t="shared" si="0"/>
        <v>0</v>
      </c>
      <c r="T9" s="1136"/>
      <c r="U9" s="897">
        <f>$S$9*Wskazniki!K40</f>
        <v>0</v>
      </c>
      <c r="V9" s="897">
        <f>$S$9*Wskazniki!L40</f>
        <v>0</v>
      </c>
      <c r="W9" s="897">
        <f>$S$9*Wskazniki!M40</f>
        <v>0</v>
      </c>
      <c r="X9" s="897">
        <f>$S$9*Wskazniki!N40</f>
        <v>0</v>
      </c>
      <c r="Y9" s="897">
        <f>$S$9*Wskazniki!O40</f>
        <v>0</v>
      </c>
      <c r="Z9" s="897">
        <f>$S$9*Wskazniki!P40</f>
        <v>0</v>
      </c>
      <c r="AA9" s="897">
        <f>$S$9*Wskazniki!Q40</f>
        <v>0</v>
      </c>
    </row>
    <row r="10" spans="1:27">
      <c r="A10" s="814" t="s">
        <v>337</v>
      </c>
      <c r="B10" s="823">
        <f t="shared" si="1"/>
        <v>0</v>
      </c>
      <c r="C10" s="1115"/>
      <c r="D10" s="824">
        <f>$B$10*Wskazniki!B41</f>
        <v>0</v>
      </c>
      <c r="E10" s="824">
        <f>$B$10*Wskazniki!C41</f>
        <v>0</v>
      </c>
      <c r="F10" s="824">
        <f>$B$10*Wskazniki!D41</f>
        <v>0</v>
      </c>
      <c r="G10" s="824">
        <f>$B$10*Wskazniki!E41</f>
        <v>0</v>
      </c>
      <c r="H10" s="824">
        <f>$B$10*Wskazniki!F41</f>
        <v>0</v>
      </c>
      <c r="I10" s="824">
        <f>$B$10*Wskazniki!G41</f>
        <v>0</v>
      </c>
      <c r="J10" s="824">
        <f>$B$10*Wskazniki!H41</f>
        <v>0</v>
      </c>
      <c r="L10" s="814" t="s">
        <v>337</v>
      </c>
      <c r="M10" s="825">
        <f t="shared" si="2"/>
        <v>0</v>
      </c>
      <c r="N10" s="828">
        <f t="shared" si="4"/>
        <v>0</v>
      </c>
      <c r="O10" s="827">
        <f>'2022 Emisja opti'!O10</f>
        <v>0</v>
      </c>
      <c r="Q10" s="894">
        <f t="shared" si="3"/>
        <v>0</v>
      </c>
      <c r="R10" s="895" t="s">
        <v>337</v>
      </c>
      <c r="S10" s="896">
        <f t="shared" si="0"/>
        <v>0</v>
      </c>
      <c r="T10" s="1136"/>
      <c r="U10" s="897">
        <f>$S$10*Wskazniki!K41</f>
        <v>0</v>
      </c>
      <c r="V10" s="897">
        <f>$S$10*Wskazniki!L41</f>
        <v>0</v>
      </c>
      <c r="W10" s="897">
        <f>$S$10*Wskazniki!M41</f>
        <v>0</v>
      </c>
      <c r="X10" s="897">
        <f>$S$10*Wskazniki!N41</f>
        <v>0</v>
      </c>
      <c r="Y10" s="897">
        <f>$S$10*Wskazniki!O41</f>
        <v>0</v>
      </c>
      <c r="Z10" s="897">
        <f>$S$10*Wskazniki!P41</f>
        <v>0</v>
      </c>
      <c r="AA10" s="897">
        <f>$S$10*Wskazniki!Q41</f>
        <v>0</v>
      </c>
    </row>
    <row r="11" spans="1:27">
      <c r="A11" s="814" t="s">
        <v>338</v>
      </c>
      <c r="B11" s="823">
        <f t="shared" si="1"/>
        <v>3410.5671695817359</v>
      </c>
      <c r="C11" s="1115"/>
      <c r="D11" s="824">
        <f>$B$11*Wskazniki!B42</f>
        <v>1.0231701508745208E-2</v>
      </c>
      <c r="E11" s="824">
        <f>$B$11*Wskazniki!C42</f>
        <v>1.0231701508745208E-2</v>
      </c>
      <c r="F11" s="824">
        <f>$B$11*Wskazniki!D42</f>
        <v>261.21533951826518</v>
      </c>
      <c r="G11" s="824">
        <f>$B$11*Wskazniki!E42</f>
        <v>3.4105671695817361E-5</v>
      </c>
      <c r="H11" s="824">
        <f>$B$11*Wskazniki!F42</f>
        <v>0.47747940374144299</v>
      </c>
      <c r="I11" s="824">
        <f>$B$11*Wskazniki!G42</f>
        <v>0.23873970187072149</v>
      </c>
      <c r="J11" s="824">
        <f>$B$11*Wskazniki!H42</f>
        <v>5.5433837424153573E-2</v>
      </c>
      <c r="L11" s="814" t="s">
        <v>587</v>
      </c>
      <c r="M11" s="825">
        <f t="shared" si="2"/>
        <v>3410.5671695817359</v>
      </c>
      <c r="N11" s="828">
        <f t="shared" si="4"/>
        <v>0.37399870527523604</v>
      </c>
      <c r="O11" s="827">
        <f>'2022 Emisja opti'!O11</f>
        <v>0.37399870527523604</v>
      </c>
      <c r="Q11" s="894">
        <f t="shared" si="3"/>
        <v>3410.5671695817359</v>
      </c>
      <c r="R11" s="895" t="s">
        <v>338</v>
      </c>
      <c r="S11" s="896">
        <f t="shared" si="0"/>
        <v>0</v>
      </c>
      <c r="T11" s="1136"/>
      <c r="U11" s="897">
        <f>$B$11*Wskazniki!AA42</f>
        <v>0</v>
      </c>
      <c r="V11" s="897">
        <f>$B$11*Wskazniki!AB42</f>
        <v>0</v>
      </c>
      <c r="W11" s="897">
        <f>$B$11*Wskazniki!AC42</f>
        <v>0</v>
      </c>
      <c r="X11" s="897">
        <f>$B$11*Wskazniki!AD42</f>
        <v>0</v>
      </c>
      <c r="Y11" s="897">
        <f>$B$11*Wskazniki!AE42</f>
        <v>0</v>
      </c>
      <c r="Z11" s="897">
        <f>$B$11*Wskazniki!AF42</f>
        <v>0</v>
      </c>
      <c r="AA11" s="897">
        <f>$B$11*Wskazniki!AG42</f>
        <v>0</v>
      </c>
    </row>
    <row r="12" spans="1:27" ht="15" customHeight="1">
      <c r="A12" s="814" t="s">
        <v>531</v>
      </c>
      <c r="B12" s="823">
        <f t="shared" si="1"/>
        <v>0</v>
      </c>
      <c r="C12" s="1115"/>
      <c r="D12" s="824">
        <v>0</v>
      </c>
      <c r="E12" s="824">
        <v>0</v>
      </c>
      <c r="F12" s="960">
        <f>(C6*Wskazniki!D43)+(B12+M12)*Wskazniki!D43</f>
        <v>274.79704000000004</v>
      </c>
      <c r="G12" s="824">
        <v>0</v>
      </c>
      <c r="H12" s="824">
        <v>0</v>
      </c>
      <c r="I12" s="824">
        <v>0</v>
      </c>
      <c r="J12" s="824">
        <v>0</v>
      </c>
      <c r="L12" s="814" t="s">
        <v>531</v>
      </c>
      <c r="M12" s="825">
        <f t="shared" si="2"/>
        <v>0</v>
      </c>
      <c r="N12" s="828">
        <f t="shared" si="4"/>
        <v>0</v>
      </c>
      <c r="O12" s="827">
        <f>'2022 Emisja opti'!O12</f>
        <v>0</v>
      </c>
      <c r="Q12" s="894">
        <f t="shared" si="3"/>
        <v>0</v>
      </c>
      <c r="R12" s="895" t="s">
        <v>531</v>
      </c>
      <c r="S12" s="896">
        <f t="shared" si="0"/>
        <v>0</v>
      </c>
      <c r="T12" s="1136"/>
      <c r="U12" s="897">
        <v>0</v>
      </c>
      <c r="V12" s="897">
        <v>0</v>
      </c>
      <c r="W12" s="897">
        <f>(T6*Wskazniki!AC43)</f>
        <v>0</v>
      </c>
      <c r="X12" s="897">
        <v>0</v>
      </c>
      <c r="Y12" s="897">
        <v>0</v>
      </c>
      <c r="Z12" s="897">
        <v>0</v>
      </c>
      <c r="AA12" s="897">
        <v>0</v>
      </c>
    </row>
    <row r="13" spans="1:27">
      <c r="A13" s="831" t="s">
        <v>588</v>
      </c>
      <c r="B13" s="823">
        <f t="shared" si="1"/>
        <v>200.63712095650675</v>
      </c>
      <c r="C13" s="1115"/>
      <c r="D13" s="824"/>
      <c r="E13" s="824"/>
      <c r="F13" s="824"/>
      <c r="G13" s="824"/>
      <c r="H13" s="824"/>
      <c r="I13" s="824"/>
      <c r="J13" s="824"/>
      <c r="L13" s="814" t="s">
        <v>482</v>
      </c>
      <c r="M13" s="825">
        <f t="shared" si="2"/>
        <v>200.63712095650675</v>
      </c>
      <c r="N13" s="828">
        <f t="shared" si="4"/>
        <v>2.2001626045408434E-2</v>
      </c>
      <c r="O13" s="827">
        <f>'2022 Emisja opti'!O13</f>
        <v>2.2001626045408434E-2</v>
      </c>
      <c r="Q13" s="894">
        <f t="shared" si="3"/>
        <v>200.63712095650675</v>
      </c>
      <c r="R13" s="898" t="s">
        <v>539</v>
      </c>
      <c r="S13" s="896">
        <f t="shared" si="0"/>
        <v>0</v>
      </c>
      <c r="T13" s="1136"/>
      <c r="U13" s="897"/>
      <c r="V13" s="897"/>
      <c r="W13" s="897"/>
      <c r="X13" s="897"/>
      <c r="Y13" s="897"/>
      <c r="Z13" s="897"/>
      <c r="AA13" s="897"/>
    </row>
    <row r="14" spans="1:27">
      <c r="A14" s="831" t="str">
        <f>L14</f>
        <v>OŹE (pompy ciepła)</v>
      </c>
      <c r="B14" s="823">
        <f t="shared" si="1"/>
        <v>127.36486393803639</v>
      </c>
      <c r="C14" s="1116"/>
      <c r="D14" s="824"/>
      <c r="E14" s="824"/>
      <c r="F14" s="824"/>
      <c r="G14" s="824"/>
      <c r="H14" s="824"/>
      <c r="I14" s="824"/>
      <c r="J14" s="824"/>
      <c r="L14" s="814" t="s">
        <v>589</v>
      </c>
      <c r="M14" s="825">
        <f t="shared" si="2"/>
        <v>127.36486393803639</v>
      </c>
      <c r="N14" s="828">
        <f t="shared" si="4"/>
        <v>1.3966678221506474E-2</v>
      </c>
      <c r="O14" s="827">
        <f>'2022 Emisja opti'!O14</f>
        <v>1.3966678221506474E-2</v>
      </c>
      <c r="Q14" s="894">
        <f t="shared" si="3"/>
        <v>127.36486393803639</v>
      </c>
      <c r="R14" s="898" t="s">
        <v>597</v>
      </c>
      <c r="S14" s="896">
        <f t="shared" si="0"/>
        <v>0</v>
      </c>
      <c r="T14" s="1137"/>
      <c r="U14" s="897"/>
      <c r="V14" s="897"/>
      <c r="W14" s="897"/>
      <c r="X14" s="897"/>
      <c r="Y14" s="897"/>
      <c r="Z14" s="897"/>
      <c r="AA14" s="897"/>
    </row>
    <row r="15" spans="1:27">
      <c r="A15" s="832" t="s">
        <v>590</v>
      </c>
      <c r="B15" s="833">
        <f>SUM(B6:B14)</f>
        <v>9119.1951241430233</v>
      </c>
      <c r="C15" s="834">
        <f>C6</f>
        <v>338.42</v>
      </c>
      <c r="D15" s="835">
        <f>SUM(D6:D14)</f>
        <v>1.1261796843144408E-2</v>
      </c>
      <c r="E15" s="835">
        <f t="shared" ref="E15:J15" si="5">SUM(E6:E14)</f>
        <v>1.1261796843144413E-2</v>
      </c>
      <c r="F15" s="835">
        <f>SUM(F6:F14)</f>
        <v>651.0122226505971</v>
      </c>
      <c r="G15" s="836">
        <f t="shared" si="5"/>
        <v>3.4105671695817307E-5</v>
      </c>
      <c r="H15" s="835">
        <f t="shared" si="5"/>
        <v>0.47850949907584206</v>
      </c>
      <c r="I15" s="835">
        <f t="shared" si="5"/>
        <v>0.34174923531064605</v>
      </c>
      <c r="J15" s="835">
        <f t="shared" si="5"/>
        <v>7.0885267440141855E-2</v>
      </c>
      <c r="L15" s="829"/>
      <c r="M15" s="825">
        <f t="shared" si="2"/>
        <v>0</v>
      </c>
      <c r="N15" s="828">
        <f t="shared" si="4"/>
        <v>0</v>
      </c>
      <c r="O15" s="829"/>
      <c r="Q15" s="894">
        <f>SUM(Q6:Q14)</f>
        <v>9119.1951241430233</v>
      </c>
      <c r="R15" s="899" t="s">
        <v>590</v>
      </c>
      <c r="S15" s="900">
        <f>SUM(S6:S14)</f>
        <v>0</v>
      </c>
      <c r="T15" s="901">
        <f>T6</f>
        <v>0</v>
      </c>
      <c r="U15" s="902">
        <f>U6+U9+U10</f>
        <v>0</v>
      </c>
      <c r="V15" s="902">
        <f t="shared" ref="V15:AA15" si="6">V6+V9+V10</f>
        <v>0</v>
      </c>
      <c r="W15" s="902">
        <f t="shared" si="6"/>
        <v>0</v>
      </c>
      <c r="X15" s="902">
        <f t="shared" si="6"/>
        <v>0</v>
      </c>
      <c r="Y15" s="902">
        <f t="shared" si="6"/>
        <v>0</v>
      </c>
      <c r="Z15" s="902">
        <f t="shared" si="6"/>
        <v>0</v>
      </c>
      <c r="AA15" s="902">
        <f t="shared" si="6"/>
        <v>0</v>
      </c>
    </row>
    <row r="16" spans="1:27">
      <c r="B16" s="837"/>
      <c r="D16" s="838">
        <f>D15</f>
        <v>1.1261796843144408E-2</v>
      </c>
      <c r="E16" s="838">
        <f>E15</f>
        <v>1.1261796843144413E-2</v>
      </c>
      <c r="F16" s="975">
        <f>F15/100</f>
        <v>6.5101222265059713</v>
      </c>
      <c r="G16" s="838">
        <f>G15</f>
        <v>3.4105671695817307E-5</v>
      </c>
      <c r="H16" s="838">
        <f>H15</f>
        <v>0.47850949907584206</v>
      </c>
      <c r="I16" s="838">
        <f>I15</f>
        <v>0.34174923531064605</v>
      </c>
      <c r="J16" s="838">
        <f>J15</f>
        <v>7.0885267440141855E-2</v>
      </c>
      <c r="L16" s="829" t="s">
        <v>297</v>
      </c>
      <c r="M16" s="839">
        <f>ZANIECH!R23</f>
        <v>9119.1951241430233</v>
      </c>
      <c r="N16" s="840">
        <f>SUM(N6:N15)</f>
        <v>1</v>
      </c>
      <c r="O16" s="841">
        <f>SUM(O6:O15)</f>
        <v>1</v>
      </c>
      <c r="S16" s="903"/>
      <c r="U16" s="904"/>
      <c r="V16" s="904"/>
      <c r="X16" s="904"/>
      <c r="Y16" s="904"/>
      <c r="Z16" s="904"/>
      <c r="AA16" s="904"/>
    </row>
    <row r="17" spans="1:27" ht="9.75" customHeight="1">
      <c r="A17" s="1124"/>
      <c r="B17" s="1124"/>
      <c r="C17" s="1124"/>
      <c r="D17" s="1124"/>
      <c r="E17" s="1124"/>
      <c r="F17" s="1124"/>
      <c r="G17" s="1124"/>
      <c r="H17" s="1124"/>
      <c r="I17" s="1124"/>
      <c r="J17" s="1124"/>
      <c r="K17" s="1124"/>
      <c r="L17" s="1124"/>
      <c r="M17" s="1124"/>
      <c r="N17" s="1124"/>
      <c r="O17" s="1124"/>
    </row>
    <row r="18" spans="1:27" ht="15">
      <c r="A18" s="1117" t="s">
        <v>307</v>
      </c>
      <c r="B18" s="1117"/>
      <c r="C18" s="1117"/>
      <c r="D18" s="1117"/>
      <c r="E18" s="1117"/>
      <c r="F18" s="1117"/>
      <c r="G18" s="1117"/>
      <c r="H18" s="1117"/>
      <c r="I18" s="1117"/>
      <c r="J18" s="1117"/>
      <c r="R18" s="1138" t="s">
        <v>307</v>
      </c>
      <c r="S18" s="1138"/>
      <c r="T18" s="1138"/>
      <c r="U18" s="1138"/>
      <c r="V18" s="1138"/>
      <c r="W18" s="1138"/>
      <c r="X18" s="1138"/>
      <c r="Y18" s="1138"/>
      <c r="Z18" s="1138"/>
      <c r="AA18" s="1138"/>
    </row>
    <row r="19" spans="1:27">
      <c r="A19" s="1118" t="s">
        <v>582</v>
      </c>
      <c r="B19" s="1118"/>
      <c r="C19" s="1118"/>
      <c r="D19" s="1119" t="s">
        <v>583</v>
      </c>
      <c r="E19" s="1119"/>
      <c r="F19" s="1119"/>
      <c r="G19" s="1119"/>
      <c r="H19" s="1119"/>
      <c r="I19" s="1119"/>
      <c r="J19" s="1119"/>
      <c r="R19" s="1139" t="s">
        <v>582</v>
      </c>
      <c r="S19" s="1139"/>
      <c r="T19" s="1139"/>
      <c r="U19" s="1140" t="s">
        <v>583</v>
      </c>
      <c r="V19" s="1140"/>
      <c r="W19" s="1140"/>
      <c r="X19" s="1140"/>
      <c r="Y19" s="1140"/>
      <c r="Z19" s="1140"/>
      <c r="AA19" s="1140"/>
    </row>
    <row r="20" spans="1:27" s="816" customFormat="1" ht="46.5" customHeight="1">
      <c r="A20" s="1120" t="s">
        <v>516</v>
      </c>
      <c r="B20" s="1122" t="s">
        <v>591</v>
      </c>
      <c r="C20" s="1120" t="s">
        <v>594</v>
      </c>
      <c r="D20" s="1119"/>
      <c r="E20" s="1119"/>
      <c r="F20" s="1119"/>
      <c r="G20" s="1119"/>
      <c r="H20" s="1119"/>
      <c r="I20" s="1119"/>
      <c r="J20" s="1119"/>
      <c r="L20" s="1125" t="s">
        <v>592</v>
      </c>
      <c r="M20" s="1125"/>
      <c r="N20" s="1125"/>
      <c r="O20" s="817" t="s">
        <v>593</v>
      </c>
      <c r="P20" s="818"/>
      <c r="Q20" s="891"/>
      <c r="R20" s="1132" t="s">
        <v>516</v>
      </c>
      <c r="S20" s="1134" t="s">
        <v>591</v>
      </c>
      <c r="T20" s="1132" t="s">
        <v>594</v>
      </c>
      <c r="U20" s="1140"/>
      <c r="V20" s="1140"/>
      <c r="W20" s="1140"/>
      <c r="X20" s="1140"/>
      <c r="Y20" s="1140"/>
      <c r="Z20" s="1140"/>
      <c r="AA20" s="1140"/>
    </row>
    <row r="21" spans="1:27" s="816" customFormat="1" ht="14.25" customHeight="1">
      <c r="A21" s="1121"/>
      <c r="B21" s="1122"/>
      <c r="C21" s="1121"/>
      <c r="D21" s="819" t="s">
        <v>560</v>
      </c>
      <c r="E21" s="819" t="s">
        <v>561</v>
      </c>
      <c r="F21" s="819" t="s">
        <v>584</v>
      </c>
      <c r="G21" s="819" t="s">
        <v>461</v>
      </c>
      <c r="H21" s="819" t="s">
        <v>569</v>
      </c>
      <c r="I21" s="820" t="s">
        <v>571</v>
      </c>
      <c r="J21" s="819" t="s">
        <v>363</v>
      </c>
      <c r="L21" s="822" t="s">
        <v>585</v>
      </c>
      <c r="M21" s="822" t="s">
        <v>586</v>
      </c>
      <c r="N21" s="822">
        <v>2020</v>
      </c>
      <c r="O21" s="821">
        <v>2016</v>
      </c>
      <c r="Q21" s="891"/>
      <c r="R21" s="1133"/>
      <c r="S21" s="1134"/>
      <c r="T21" s="1133"/>
      <c r="U21" s="892" t="s">
        <v>560</v>
      </c>
      <c r="V21" s="892" t="s">
        <v>561</v>
      </c>
      <c r="W21" s="892" t="s">
        <v>584</v>
      </c>
      <c r="X21" s="892" t="s">
        <v>461</v>
      </c>
      <c r="Y21" s="892" t="s">
        <v>569</v>
      </c>
      <c r="Z21" s="893" t="s">
        <v>571</v>
      </c>
      <c r="AA21" s="892" t="s">
        <v>363</v>
      </c>
    </row>
    <row r="22" spans="1:27" ht="15" customHeight="1">
      <c r="A22" s="814" t="s">
        <v>479</v>
      </c>
      <c r="B22" s="823">
        <f>M22-M22*$D$70</f>
        <v>201638.86796996664</v>
      </c>
      <c r="C22" s="1114">
        <f>'2022 Emisja opti'!C22</f>
        <v>4990.8</v>
      </c>
      <c r="D22" s="824">
        <f>$B$22*Wskazniki!B37</f>
        <v>45.36874529324249</v>
      </c>
      <c r="E22" s="824">
        <f>$B$22*Wskazniki!C37</f>
        <v>40.529412461963297</v>
      </c>
      <c r="F22" s="824">
        <f>$B$22*Wskazniki!D37</f>
        <v>18901.627483504672</v>
      </c>
      <c r="G22" s="824">
        <f>$B$22*Wskazniki!E37</f>
        <v>5.4442494351890997E-2</v>
      </c>
      <c r="H22" s="824">
        <f>$B$22*Wskazniki!F37</f>
        <v>181.47498117296996</v>
      </c>
      <c r="I22" s="824">
        <f>$B$22*Wskazniki!G37</f>
        <v>31.858941139254728</v>
      </c>
      <c r="J22" s="824">
        <f>$B$22*Wskazniki!H37</f>
        <v>405.62132582246301</v>
      </c>
      <c r="L22" s="814" t="s">
        <v>479</v>
      </c>
      <c r="M22" s="825">
        <f t="shared" ref="M22:M29" si="7">N22*$M$32</f>
        <v>201638.86796996664</v>
      </c>
      <c r="N22" s="826">
        <f>100%-N23-N24-N25-N26-N27-N28-N29-N30</f>
        <v>0.76</v>
      </c>
      <c r="O22" s="827">
        <f>'2022 Emisja opti'!O22</f>
        <v>0.76</v>
      </c>
      <c r="Q22" s="894">
        <f>B22+S22</f>
        <v>201638.86796996664</v>
      </c>
      <c r="R22" s="895" t="str">
        <f>R6</f>
        <v>węgiel</v>
      </c>
      <c r="S22" s="896">
        <f t="shared" ref="S22:S30" si="8">M22*$D$70</f>
        <v>0</v>
      </c>
      <c r="T22" s="1135"/>
      <c r="U22" s="897">
        <f>$S$22*Wskazniki!K37</f>
        <v>0</v>
      </c>
      <c r="V22" s="897">
        <f>$S$22*Wskazniki!L37</f>
        <v>0</v>
      </c>
      <c r="W22" s="897">
        <f>$S$22*Wskazniki!M37</f>
        <v>0</v>
      </c>
      <c r="X22" s="897">
        <f>$S$22*Wskazniki!N37</f>
        <v>0</v>
      </c>
      <c r="Y22" s="897">
        <f>$S$22*Wskazniki!O37</f>
        <v>0</v>
      </c>
      <c r="Z22" s="897">
        <f>$S$22*Wskazniki!P37</f>
        <v>0</v>
      </c>
      <c r="AA22" s="897">
        <f>$S$22*Wskazniki!Q37</f>
        <v>0</v>
      </c>
    </row>
    <row r="23" spans="1:27">
      <c r="A23" s="814" t="s">
        <v>480</v>
      </c>
      <c r="B23" s="823">
        <f t="shared" ref="B23:B30" si="9">M23-M23*$D$70</f>
        <v>0</v>
      </c>
      <c r="C23" s="1115"/>
      <c r="D23" s="824">
        <f>Wskazniki!B38*'2022 Emisja zaniech'!$B$23</f>
        <v>0</v>
      </c>
      <c r="E23" s="824">
        <f>Wskazniki!C38*'2022 Emisja zaniech'!$B$23</f>
        <v>0</v>
      </c>
      <c r="F23" s="824">
        <f>Wskazniki!D38*'2022 Emisja zaniech'!$B$23</f>
        <v>0</v>
      </c>
      <c r="G23" s="824">
        <f>Wskazniki!E38*'2022 Emisja zaniech'!$B$23</f>
        <v>0</v>
      </c>
      <c r="H23" s="824">
        <f>Wskazniki!F38*'2022 Emisja zaniech'!$B$23</f>
        <v>0</v>
      </c>
      <c r="I23" s="824">
        <f>Wskazniki!G38*'2022 Emisja zaniech'!$B$23</f>
        <v>0</v>
      </c>
      <c r="J23" s="824">
        <f>Wskazniki!H38*'2022 Emisja zaniech'!$B$23</f>
        <v>0</v>
      </c>
      <c r="L23" s="814" t="str">
        <f>A23</f>
        <v>sieć ciepłownicza</v>
      </c>
      <c r="M23" s="825">
        <f t="shared" si="7"/>
        <v>0</v>
      </c>
      <c r="N23" s="828">
        <f>O23</f>
        <v>0</v>
      </c>
      <c r="O23" s="827">
        <f>'2022 Emisja opti'!O23</f>
        <v>0</v>
      </c>
      <c r="Q23" s="894">
        <f t="shared" ref="Q23:Q30" si="10">B23+S23</f>
        <v>0</v>
      </c>
      <c r="R23" s="895" t="str">
        <f t="shared" ref="R23:R30" si="11">R7</f>
        <v>sieć ciepłownicza</v>
      </c>
      <c r="S23" s="896">
        <f t="shared" si="8"/>
        <v>0</v>
      </c>
      <c r="T23" s="1136"/>
      <c r="U23" s="897">
        <f>Wskazniki!AA38*'2032 Emisja opti'!$B$23</f>
        <v>0</v>
      </c>
      <c r="V23" s="897">
        <f>Wskazniki!AB38*'2032 Emisja opti'!$B$23</f>
        <v>0</v>
      </c>
      <c r="W23" s="897">
        <f>Wskazniki!AC38*'2032 Emisja opti'!$B$23</f>
        <v>0</v>
      </c>
      <c r="X23" s="897">
        <f>Wskazniki!AD38*'2032 Emisja opti'!$B$23</f>
        <v>0</v>
      </c>
      <c r="Y23" s="897">
        <f>Wskazniki!AE38*'2032 Emisja opti'!$B$23</f>
        <v>0</v>
      </c>
      <c r="Z23" s="897">
        <f>Wskazniki!AF38*'2032 Emisja opti'!$B$23</f>
        <v>0</v>
      </c>
      <c r="AA23" s="897">
        <f>Wskazniki!AG38*'2032 Emisja opti'!$B$23</f>
        <v>0</v>
      </c>
    </row>
    <row r="24" spans="1:27" ht="15" customHeight="1">
      <c r="A24" s="814" t="s">
        <v>331</v>
      </c>
      <c r="B24" s="823">
        <f>M24-M24*$D$70</f>
        <v>24093.143554146944</v>
      </c>
      <c r="C24" s="1115"/>
      <c r="D24" s="824">
        <f>$B$24*Wskazniki!B39</f>
        <v>1.2046571777073471E-2</v>
      </c>
      <c r="E24" s="824">
        <f>$B$24*Wskazniki!C39</f>
        <v>1.2046571777073471E-2</v>
      </c>
      <c r="F24" s="824">
        <f>$B$24*Wskazniki!D39</f>
        <v>1344.8792731924825</v>
      </c>
      <c r="G24" s="824">
        <f>$B$24*Wskazniki!E39</f>
        <v>0</v>
      </c>
      <c r="H24" s="824">
        <f>$B$24*Wskazniki!F39</f>
        <v>1.2046571777073471E-2</v>
      </c>
      <c r="I24" s="824">
        <f>$B$24*Wskazniki!G39</f>
        <v>1.2046571777073471</v>
      </c>
      <c r="J24" s="824">
        <f>$B$24*Wskazniki!H39</f>
        <v>0.18069857665610209</v>
      </c>
      <c r="L24" s="814" t="s">
        <v>331</v>
      </c>
      <c r="M24" s="968">
        <f>N24*$M$32*1.3</f>
        <v>24093.143554146944</v>
      </c>
      <c r="N24" s="828">
        <f t="shared" ref="N24:N30" si="12">O24</f>
        <v>6.9853706913288335E-2</v>
      </c>
      <c r="O24" s="827">
        <f>'2022 Emisja opti'!O24</f>
        <v>6.9853706913288335E-2</v>
      </c>
      <c r="Q24" s="894">
        <f t="shared" si="10"/>
        <v>24093.143554146944</v>
      </c>
      <c r="R24" s="895" t="str">
        <f t="shared" si="11"/>
        <v>gaz</v>
      </c>
      <c r="S24" s="896">
        <f t="shared" si="8"/>
        <v>0</v>
      </c>
      <c r="T24" s="1136"/>
      <c r="U24" s="897">
        <f>$B$24*Wskazniki!AA39</f>
        <v>0</v>
      </c>
      <c r="V24" s="897">
        <f>$B$24*Wskazniki!AB39</f>
        <v>0</v>
      </c>
      <c r="W24" s="897">
        <f>$B$24*Wskazniki!AC39</f>
        <v>0</v>
      </c>
      <c r="X24" s="897">
        <f>$B$24*Wskazniki!AD39</f>
        <v>0</v>
      </c>
      <c r="Y24" s="897">
        <f>$B$24*Wskazniki!AE39</f>
        <v>0</v>
      </c>
      <c r="Z24" s="897">
        <f>$B$24*Wskazniki!AF39</f>
        <v>0</v>
      </c>
      <c r="AA24" s="897">
        <f>$B$24*Wskazniki!AG39</f>
        <v>0</v>
      </c>
    </row>
    <row r="25" spans="1:27">
      <c r="A25" s="814" t="s">
        <v>335</v>
      </c>
      <c r="B25" s="823">
        <f t="shared" si="9"/>
        <v>23878.286996443414</v>
      </c>
      <c r="C25" s="1115"/>
      <c r="D25" s="824">
        <f>$B$25*Wskazniki!B40</f>
        <v>11.461577758292838</v>
      </c>
      <c r="E25" s="824">
        <f>$B$25*Wskazniki!C40</f>
        <v>11.222794888328405</v>
      </c>
      <c r="F25" s="824">
        <f>$B$25*Wskazniki!D40</f>
        <v>0</v>
      </c>
      <c r="G25" s="824">
        <f>$B$25*Wskazniki!E40</f>
        <v>2.8892727265696534E-3</v>
      </c>
      <c r="H25" s="824">
        <f>$B$25*Wskazniki!F40</f>
        <v>0.26266115696087755</v>
      </c>
      <c r="I25" s="824">
        <f>$B$25*Wskazniki!G40</f>
        <v>1.9102629597154732</v>
      </c>
      <c r="J25" s="824">
        <f>$B$25*Wskazniki!H40</f>
        <v>4.2837646871619484</v>
      </c>
      <c r="L25" s="814" t="s">
        <v>335</v>
      </c>
      <c r="M25" s="825">
        <f t="shared" si="7"/>
        <v>23878.286996443414</v>
      </c>
      <c r="N25" s="828">
        <f t="shared" si="12"/>
        <v>0.09</v>
      </c>
      <c r="O25" s="827">
        <f>'2022 Emisja opti'!O25</f>
        <v>0.09</v>
      </c>
      <c r="Q25" s="894">
        <f t="shared" si="10"/>
        <v>23878.286996443414</v>
      </c>
      <c r="R25" s="895" t="str">
        <f t="shared" si="11"/>
        <v>drewno</v>
      </c>
      <c r="S25" s="896">
        <f t="shared" si="8"/>
        <v>0</v>
      </c>
      <c r="T25" s="1136"/>
      <c r="U25" s="897">
        <f>$S$25*Wskazniki!K40</f>
        <v>0</v>
      </c>
      <c r="V25" s="897">
        <f>$S$25*Wskazniki!L40</f>
        <v>0</v>
      </c>
      <c r="W25" s="897">
        <f>$S$25*Wskazniki!M40</f>
        <v>0</v>
      </c>
      <c r="X25" s="897">
        <f>$S$25*Wskazniki!N40</f>
        <v>0</v>
      </c>
      <c r="Y25" s="897">
        <f>$S$25*Wskazniki!O40</f>
        <v>0</v>
      </c>
      <c r="Z25" s="897">
        <f>$S$25*Wskazniki!P40</f>
        <v>0</v>
      </c>
      <c r="AA25" s="897">
        <f>$S$25*Wskazniki!Q40</f>
        <v>0</v>
      </c>
    </row>
    <row r="26" spans="1:27">
      <c r="A26" s="814" t="s">
        <v>337</v>
      </c>
      <c r="B26" s="823">
        <f t="shared" si="9"/>
        <v>7998.2426467044306</v>
      </c>
      <c r="C26" s="1115"/>
      <c r="D26" s="824">
        <f>$B$26*Wskazniki!B41</f>
        <v>3.8391564704181267</v>
      </c>
      <c r="E26" s="824">
        <f>$B$26*Wskazniki!C41</f>
        <v>3.7591740439510821</v>
      </c>
      <c r="F26" s="824">
        <f>$B$26*Wskazniki!D41</f>
        <v>0</v>
      </c>
      <c r="G26" s="824">
        <f>$B$26*Wskazniki!E41</f>
        <v>9.6778736025123619E-4</v>
      </c>
      <c r="H26" s="824">
        <f>$B$26*Wskazniki!F41</f>
        <v>8.798066911374873E-2</v>
      </c>
      <c r="I26" s="824">
        <f>$B$26*Wskazniki!G41</f>
        <v>0.63985941173635452</v>
      </c>
      <c r="J26" s="824">
        <f>$B$26*Wskazniki!H41</f>
        <v>1.4348847308187749</v>
      </c>
      <c r="L26" s="814" t="s">
        <v>337</v>
      </c>
      <c r="M26" s="825">
        <f t="shared" si="7"/>
        <v>7998.2426467044306</v>
      </c>
      <c r="N26" s="828">
        <f t="shared" si="12"/>
        <v>3.0146293086711646E-2</v>
      </c>
      <c r="O26" s="827">
        <f>'2022 Emisja opti'!O26</f>
        <v>3.0146293086711646E-2</v>
      </c>
      <c r="Q26" s="894">
        <f t="shared" si="10"/>
        <v>7998.2426467044306</v>
      </c>
      <c r="R26" s="895" t="str">
        <f t="shared" si="11"/>
        <v>pelet</v>
      </c>
      <c r="S26" s="896">
        <f t="shared" si="8"/>
        <v>0</v>
      </c>
      <c r="T26" s="1136"/>
      <c r="U26" s="897">
        <f>$S$26*Wskazniki!K41</f>
        <v>0</v>
      </c>
      <c r="V26" s="897">
        <f>$S$26*Wskazniki!L41</f>
        <v>0</v>
      </c>
      <c r="W26" s="897">
        <f>$S$26*Wskazniki!M41</f>
        <v>0</v>
      </c>
      <c r="X26" s="897">
        <f>$S$26*Wskazniki!N41</f>
        <v>0</v>
      </c>
      <c r="Y26" s="897">
        <f>$S$26*Wskazniki!O41</f>
        <v>0</v>
      </c>
      <c r="Z26" s="897">
        <f>$S$26*Wskazniki!P41</f>
        <v>0</v>
      </c>
      <c r="AA26" s="897">
        <f>$S$26*Wskazniki!Q41</f>
        <v>0</v>
      </c>
    </row>
    <row r="27" spans="1:27">
      <c r="A27" s="814" t="s">
        <v>338</v>
      </c>
      <c r="B27" s="823">
        <f t="shared" si="9"/>
        <v>9551.3147985773649</v>
      </c>
      <c r="C27" s="1115"/>
      <c r="D27" s="824">
        <f>$B$27*Wskazniki!B42</f>
        <v>2.8653944395732094E-2</v>
      </c>
      <c r="E27" s="824">
        <f>$B$27*Wskazniki!C42</f>
        <v>2.8653944395732094E-2</v>
      </c>
      <c r="F27" s="824">
        <f>$B$27*Wskazniki!D42</f>
        <v>731.53520042304046</v>
      </c>
      <c r="G27" s="824">
        <f>$B$27*Wskazniki!E42</f>
        <v>9.5513147985773651E-5</v>
      </c>
      <c r="H27" s="824">
        <f>$B$27*Wskazniki!F42</f>
        <v>1.337184071800831</v>
      </c>
      <c r="I27" s="824">
        <f>$B$27*Wskazniki!G42</f>
        <v>0.66859203590041549</v>
      </c>
      <c r="J27" s="824">
        <f>$B$27*Wskazniki!H42</f>
        <v>0.15524281018519928</v>
      </c>
      <c r="L27" s="814" t="s">
        <v>587</v>
      </c>
      <c r="M27" s="825">
        <f t="shared" si="7"/>
        <v>9551.3147985773649</v>
      </c>
      <c r="N27" s="828">
        <f t="shared" si="12"/>
        <v>3.5999999999999997E-2</v>
      </c>
      <c r="O27" s="827">
        <f>'2022 Emisja opti'!O27</f>
        <v>3.5999999999999997E-2</v>
      </c>
      <c r="Q27" s="894">
        <f t="shared" si="10"/>
        <v>9551.3147985773649</v>
      </c>
      <c r="R27" s="895" t="str">
        <f t="shared" si="11"/>
        <v>olej opałowy</v>
      </c>
      <c r="S27" s="896">
        <f t="shared" si="8"/>
        <v>0</v>
      </c>
      <c r="T27" s="1136"/>
      <c r="U27" s="897">
        <f>$B$27*Wskazniki!AA42</f>
        <v>0</v>
      </c>
      <c r="V27" s="897">
        <f>$B$27*Wskazniki!AB42</f>
        <v>0</v>
      </c>
      <c r="W27" s="897">
        <f>$B$27*Wskazniki!AC42</f>
        <v>0</v>
      </c>
      <c r="X27" s="897">
        <f>$B$27*Wskazniki!AD42</f>
        <v>0</v>
      </c>
      <c r="Y27" s="897">
        <f>$B$27*Wskazniki!AE42</f>
        <v>0</v>
      </c>
      <c r="Z27" s="897">
        <f>$B$27*Wskazniki!AF42</f>
        <v>0</v>
      </c>
      <c r="AA27" s="897">
        <f>$B$27*Wskazniki!AG42</f>
        <v>0</v>
      </c>
    </row>
    <row r="28" spans="1:27" ht="15" customHeight="1">
      <c r="A28" s="814" t="s">
        <v>531</v>
      </c>
      <c r="B28" s="823">
        <f t="shared" si="9"/>
        <v>1326.5714998024121</v>
      </c>
      <c r="C28" s="1115"/>
      <c r="D28" s="824">
        <v>0</v>
      </c>
      <c r="E28" s="824">
        <v>0</v>
      </c>
      <c r="F28" s="960">
        <f>(C22*Wskazniki!D43)+(B28+M28)*Wskazniki!D43</f>
        <v>6206.8817156791174</v>
      </c>
      <c r="G28" s="824">
        <v>0</v>
      </c>
      <c r="H28" s="824">
        <v>0</v>
      </c>
      <c r="I28" s="824">
        <v>0</v>
      </c>
      <c r="J28" s="824">
        <v>0</v>
      </c>
      <c r="L28" s="814" t="s">
        <v>531</v>
      </c>
      <c r="M28" s="825">
        <f t="shared" si="7"/>
        <v>1326.5714998024121</v>
      </c>
      <c r="N28" s="828">
        <f t="shared" si="12"/>
        <v>5.0000000000000001E-3</v>
      </c>
      <c r="O28" s="827">
        <f>'2022 Emisja opti'!O28</f>
        <v>5.0000000000000001E-3</v>
      </c>
      <c r="Q28" s="894">
        <f t="shared" si="10"/>
        <v>1326.5714998024121</v>
      </c>
      <c r="R28" s="895" t="str">
        <f t="shared" si="11"/>
        <v>prąd</v>
      </c>
      <c r="S28" s="896">
        <f t="shared" si="8"/>
        <v>0</v>
      </c>
      <c r="T28" s="1136"/>
      <c r="U28" s="897">
        <v>0</v>
      </c>
      <c r="V28" s="897">
        <v>0</v>
      </c>
      <c r="W28" s="897">
        <f>(T22*Wskazniki!AC43)</f>
        <v>0</v>
      </c>
      <c r="X28" s="897">
        <v>0</v>
      </c>
      <c r="Y28" s="897">
        <v>0</v>
      </c>
      <c r="Z28" s="897">
        <v>0</v>
      </c>
      <c r="AA28" s="897">
        <v>0</v>
      </c>
    </row>
    <row r="29" spans="1:27">
      <c r="A29" s="831" t="s">
        <v>588</v>
      </c>
      <c r="B29" s="823">
        <f t="shared" si="9"/>
        <v>1061.2571998419296</v>
      </c>
      <c r="C29" s="1115"/>
      <c r="D29" s="824"/>
      <c r="E29" s="824"/>
      <c r="F29" s="824"/>
      <c r="G29" s="824"/>
      <c r="H29" s="824"/>
      <c r="I29" s="824"/>
      <c r="J29" s="824"/>
      <c r="L29" s="814" t="s">
        <v>482</v>
      </c>
      <c r="M29" s="825">
        <f t="shared" si="7"/>
        <v>1061.2571998419296</v>
      </c>
      <c r="N29" s="828">
        <f t="shared" si="12"/>
        <v>4.0000000000000001E-3</v>
      </c>
      <c r="O29" s="827">
        <f>'2022 Emisja opti'!O29</f>
        <v>4.0000000000000001E-3</v>
      </c>
      <c r="Q29" s="894">
        <f t="shared" si="10"/>
        <v>1061.2571998419296</v>
      </c>
      <c r="R29" s="895" t="str">
        <f t="shared" si="11"/>
        <v>kolektory słoneczne</v>
      </c>
      <c r="S29" s="896">
        <f t="shared" si="8"/>
        <v>0</v>
      </c>
      <c r="T29" s="1136"/>
      <c r="U29" s="897"/>
      <c r="V29" s="897"/>
      <c r="W29" s="897"/>
      <c r="X29" s="897"/>
      <c r="Y29" s="897"/>
      <c r="Z29" s="897"/>
      <c r="AA29" s="897"/>
    </row>
    <row r="30" spans="1:27">
      <c r="A30" s="831" t="str">
        <f>L30</f>
        <v>OŹE (pompy ciepła)</v>
      </c>
      <c r="B30" s="823">
        <f t="shared" si="9"/>
        <v>1326.5714998024121</v>
      </c>
      <c r="C30" s="1116"/>
      <c r="D30" s="824"/>
      <c r="E30" s="824"/>
      <c r="F30" s="824"/>
      <c r="G30" s="824"/>
      <c r="H30" s="824"/>
      <c r="I30" s="824"/>
      <c r="J30" s="824"/>
      <c r="L30" s="814" t="s">
        <v>589</v>
      </c>
      <c r="M30" s="825">
        <f>N30*$M32</f>
        <v>1326.5714998024121</v>
      </c>
      <c r="N30" s="828">
        <f t="shared" si="12"/>
        <v>5.0000000000000001E-3</v>
      </c>
      <c r="O30" s="827">
        <f>'2022 Emisja opti'!O30</f>
        <v>5.0000000000000001E-3</v>
      </c>
      <c r="Q30" s="894">
        <f t="shared" si="10"/>
        <v>1326.5714998024121</v>
      </c>
      <c r="R30" s="895" t="str">
        <f t="shared" si="11"/>
        <v>pompy ciepła</v>
      </c>
      <c r="S30" s="896">
        <f t="shared" si="8"/>
        <v>0</v>
      </c>
      <c r="T30" s="1137"/>
      <c r="U30" s="897"/>
      <c r="V30" s="897"/>
      <c r="W30" s="897"/>
      <c r="X30" s="897"/>
      <c r="Y30" s="897"/>
      <c r="Z30" s="897"/>
      <c r="AA30" s="897"/>
    </row>
    <row r="31" spans="1:27">
      <c r="A31" s="832" t="s">
        <v>590</v>
      </c>
      <c r="B31" s="833">
        <f>SUM(B22:B30)</f>
        <v>270874.25616528548</v>
      </c>
      <c r="C31" s="834">
        <f>C22</f>
        <v>4990.8</v>
      </c>
      <c r="D31" s="835">
        <f>SUM(D22:D30)</f>
        <v>60.710180038126268</v>
      </c>
      <c r="E31" s="835">
        <f t="shared" ref="E31:J31" si="13">SUM(E22:E30)</f>
        <v>55.552081910415595</v>
      </c>
      <c r="F31" s="835">
        <f t="shared" si="13"/>
        <v>27184.923672799312</v>
      </c>
      <c r="G31" s="836">
        <f t="shared" si="13"/>
        <v>5.8395067586697658E-2</v>
      </c>
      <c r="H31" s="835">
        <f t="shared" si="13"/>
        <v>183.17485364262251</v>
      </c>
      <c r="I31" s="835">
        <f t="shared" si="13"/>
        <v>36.282312724314323</v>
      </c>
      <c r="J31" s="835">
        <f t="shared" si="13"/>
        <v>411.67591662728501</v>
      </c>
      <c r="L31" s="829"/>
      <c r="M31" s="825"/>
      <c r="N31" s="829"/>
      <c r="O31" s="829"/>
      <c r="Q31" s="894">
        <f>SUM(Q22:Q30)</f>
        <v>270874.25616528548</v>
      </c>
      <c r="R31" s="899" t="s">
        <v>590</v>
      </c>
      <c r="S31" s="900">
        <f>SUM(S22:S30)</f>
        <v>0</v>
      </c>
      <c r="T31" s="901">
        <f>T22</f>
        <v>0</v>
      </c>
      <c r="U31" s="902">
        <f>U22+U25+U26</f>
        <v>0</v>
      </c>
      <c r="V31" s="902">
        <f t="shared" ref="V31:AA31" si="14">V22+V25+V26</f>
        <v>0</v>
      </c>
      <c r="W31" s="902">
        <f t="shared" si="14"/>
        <v>0</v>
      </c>
      <c r="X31" s="902">
        <f t="shared" si="14"/>
        <v>0</v>
      </c>
      <c r="Y31" s="902">
        <f t="shared" si="14"/>
        <v>0</v>
      </c>
      <c r="Z31" s="902">
        <f t="shared" si="14"/>
        <v>0</v>
      </c>
      <c r="AA31" s="902">
        <f t="shared" si="14"/>
        <v>0</v>
      </c>
    </row>
    <row r="32" spans="1:27">
      <c r="B32" s="837"/>
      <c r="D32" s="838">
        <f>D31</f>
        <v>60.710180038126268</v>
      </c>
      <c r="E32" s="838">
        <f>E31</f>
        <v>55.552081910415595</v>
      </c>
      <c r="F32" s="815">
        <f>F31/100</f>
        <v>271.84923672799312</v>
      </c>
      <c r="G32" s="838">
        <f>G31</f>
        <v>5.8395067586697658E-2</v>
      </c>
      <c r="H32" s="838">
        <f>H31</f>
        <v>183.17485364262251</v>
      </c>
      <c r="I32" s="838">
        <f>I31</f>
        <v>36.282312724314323</v>
      </c>
      <c r="J32" s="838">
        <f>J31</f>
        <v>411.67591662728501</v>
      </c>
      <c r="L32" s="829" t="s">
        <v>297</v>
      </c>
      <c r="M32" s="839">
        <f>ZANIECH!R5</f>
        <v>265314.2999604824</v>
      </c>
      <c r="N32" s="840">
        <f>SUM(N22:N31)</f>
        <v>1</v>
      </c>
      <c r="O32" s="841">
        <f>SUM(O22:O31)</f>
        <v>1</v>
      </c>
      <c r="S32" s="903"/>
    </row>
    <row r="33" spans="1:27" ht="9.75" customHeight="1">
      <c r="A33" s="1124"/>
      <c r="B33" s="1124"/>
      <c r="C33" s="1124"/>
      <c r="D33" s="1124"/>
      <c r="E33" s="1124"/>
      <c r="F33" s="1124"/>
      <c r="G33" s="1124"/>
      <c r="H33" s="1124"/>
      <c r="I33" s="1124"/>
      <c r="J33" s="1124"/>
      <c r="K33" s="1124"/>
      <c r="L33" s="1124"/>
      <c r="M33" s="1124"/>
      <c r="N33" s="1124"/>
      <c r="O33" s="1124"/>
    </row>
    <row r="34" spans="1:27" ht="15">
      <c r="A34" s="1117" t="s">
        <v>325</v>
      </c>
      <c r="B34" s="1117"/>
      <c r="C34" s="1117"/>
      <c r="D34" s="1117"/>
      <c r="E34" s="1117"/>
      <c r="F34" s="1117"/>
      <c r="G34" s="1117"/>
      <c r="H34" s="1117"/>
      <c r="I34" s="1117"/>
      <c r="J34" s="1117"/>
      <c r="R34" s="1138" t="s">
        <v>325</v>
      </c>
      <c r="S34" s="1138"/>
      <c r="T34" s="1138"/>
      <c r="U34" s="1138"/>
      <c r="V34" s="1138"/>
      <c r="W34" s="1138"/>
      <c r="X34" s="1138"/>
      <c r="Y34" s="1138"/>
      <c r="Z34" s="1138"/>
      <c r="AA34" s="1138"/>
    </row>
    <row r="35" spans="1:27">
      <c r="A35" s="1118" t="s">
        <v>582</v>
      </c>
      <c r="B35" s="1118"/>
      <c r="C35" s="1118"/>
      <c r="D35" s="1119" t="s">
        <v>583</v>
      </c>
      <c r="E35" s="1119"/>
      <c r="F35" s="1119"/>
      <c r="G35" s="1119"/>
      <c r="H35" s="1119"/>
      <c r="I35" s="1119"/>
      <c r="J35" s="1119"/>
      <c r="R35" s="1139" t="s">
        <v>582</v>
      </c>
      <c r="S35" s="1139"/>
      <c r="T35" s="1139"/>
      <c r="U35" s="1140" t="s">
        <v>583</v>
      </c>
      <c r="V35" s="1140"/>
      <c r="W35" s="1140"/>
      <c r="X35" s="1140"/>
      <c r="Y35" s="1140"/>
      <c r="Z35" s="1140"/>
      <c r="AA35" s="1140"/>
    </row>
    <row r="36" spans="1:27" s="816" customFormat="1" ht="46.5" customHeight="1">
      <c r="A36" s="1120" t="s">
        <v>516</v>
      </c>
      <c r="B36" s="1122" t="s">
        <v>591</v>
      </c>
      <c r="C36" s="1120" t="s">
        <v>594</v>
      </c>
      <c r="D36" s="1119"/>
      <c r="E36" s="1119"/>
      <c r="F36" s="1119"/>
      <c r="G36" s="1119"/>
      <c r="H36" s="1119"/>
      <c r="I36" s="1119"/>
      <c r="J36" s="1119"/>
      <c r="L36" s="1125" t="s">
        <v>592</v>
      </c>
      <c r="M36" s="1125"/>
      <c r="N36" s="1125"/>
      <c r="O36" s="817" t="s">
        <v>593</v>
      </c>
      <c r="P36" s="818"/>
      <c r="Q36" s="891"/>
      <c r="R36" s="1132" t="s">
        <v>516</v>
      </c>
      <c r="S36" s="1134" t="s">
        <v>591</v>
      </c>
      <c r="T36" s="1132" t="s">
        <v>594</v>
      </c>
      <c r="U36" s="1140"/>
      <c r="V36" s="1140"/>
      <c r="W36" s="1140"/>
      <c r="X36" s="1140"/>
      <c r="Y36" s="1140"/>
      <c r="Z36" s="1140"/>
      <c r="AA36" s="1140"/>
    </row>
    <row r="37" spans="1:27" s="816" customFormat="1" ht="14.25" customHeight="1">
      <c r="A37" s="1121"/>
      <c r="B37" s="1122"/>
      <c r="C37" s="1121"/>
      <c r="D37" s="819" t="s">
        <v>560</v>
      </c>
      <c r="E37" s="819" t="s">
        <v>561</v>
      </c>
      <c r="F37" s="819" t="s">
        <v>584</v>
      </c>
      <c r="G37" s="819" t="s">
        <v>461</v>
      </c>
      <c r="H37" s="819" t="s">
        <v>569</v>
      </c>
      <c r="I37" s="820" t="s">
        <v>571</v>
      </c>
      <c r="J37" s="819" t="s">
        <v>363</v>
      </c>
      <c r="L37" s="822" t="s">
        <v>585</v>
      </c>
      <c r="M37" s="822" t="s">
        <v>586</v>
      </c>
      <c r="N37" s="822">
        <v>2020</v>
      </c>
      <c r="O37" s="821">
        <v>2016</v>
      </c>
      <c r="Q37" s="891"/>
      <c r="R37" s="1133"/>
      <c r="S37" s="1134"/>
      <c r="T37" s="1133"/>
      <c r="U37" s="892" t="s">
        <v>560</v>
      </c>
      <c r="V37" s="892" t="s">
        <v>561</v>
      </c>
      <c r="W37" s="892" t="s">
        <v>584</v>
      </c>
      <c r="X37" s="892" t="s">
        <v>461</v>
      </c>
      <c r="Y37" s="892" t="s">
        <v>569</v>
      </c>
      <c r="Z37" s="893" t="s">
        <v>571</v>
      </c>
      <c r="AA37" s="892" t="s">
        <v>363</v>
      </c>
    </row>
    <row r="38" spans="1:27" ht="15" customHeight="1">
      <c r="A38" s="814" t="s">
        <v>479</v>
      </c>
      <c r="B38" s="823">
        <f>M38-M38*$D$71</f>
        <v>2202.3870624935143</v>
      </c>
      <c r="C38" s="1114">
        <f>'2022 Emisja opti'!C38</f>
        <v>246.49999999999997</v>
      </c>
      <c r="D38" s="824">
        <f>$B$38*Wskazniki!B37</f>
        <v>0.49553708906104071</v>
      </c>
      <c r="E38" s="824">
        <f>$B$38*Wskazniki!C37</f>
        <v>0.44267979956119641</v>
      </c>
      <c r="F38" s="824">
        <f>$B$38*Wskazniki!D37</f>
        <v>206.45176323814201</v>
      </c>
      <c r="G38" s="824">
        <f>$B$38*Wskazniki!E37</f>
        <v>5.9464450687324885E-4</v>
      </c>
      <c r="H38" s="824">
        <f>$B$38*Wskazniki!F37</f>
        <v>1.9821483562441629</v>
      </c>
      <c r="I38" s="824">
        <f>$B$38*Wskazniki!G37</f>
        <v>0.34797715587397526</v>
      </c>
      <c r="J38" s="824">
        <f>$B$38*Wskazniki!H37</f>
        <v>4.4303718288872656</v>
      </c>
      <c r="L38" s="814" t="s">
        <v>479</v>
      </c>
      <c r="M38" s="825">
        <f>N38*$M$48</f>
        <v>2202.3870624935143</v>
      </c>
      <c r="N38" s="826">
        <f>100%-N39-N40-N41-N42-N43-N44-N45-N46</f>
        <v>0.23307201929703647</v>
      </c>
      <c r="O38" s="827">
        <f>'2022 Emisja opti'!O38</f>
        <v>0.23307201929703655</v>
      </c>
      <c r="Q38" s="894">
        <f>B38+S38</f>
        <v>2202.3870624935143</v>
      </c>
      <c r="R38" s="895" t="s">
        <v>479</v>
      </c>
      <c r="S38" s="896">
        <f t="shared" ref="S38:S46" si="15">M38*$D$71</f>
        <v>0</v>
      </c>
      <c r="T38" s="1135"/>
      <c r="U38" s="897">
        <f>$S$38*Wskazniki!K37</f>
        <v>0</v>
      </c>
      <c r="V38" s="897">
        <f>$S$38*Wskazniki!L37</f>
        <v>0</v>
      </c>
      <c r="W38" s="897">
        <f>$S$38*Wskazniki!M37</f>
        <v>0</v>
      </c>
      <c r="X38" s="897">
        <f>$S$38*Wskazniki!N37</f>
        <v>0</v>
      </c>
      <c r="Y38" s="897">
        <f>$S$38*Wskazniki!O37</f>
        <v>0</v>
      </c>
      <c r="Z38" s="897">
        <f>$S$38*Wskazniki!P37</f>
        <v>0</v>
      </c>
      <c r="AA38" s="897">
        <f>$S$38*Wskazniki!Q37</f>
        <v>0</v>
      </c>
    </row>
    <row r="39" spans="1:27">
      <c r="A39" s="814" t="s">
        <v>480</v>
      </c>
      <c r="B39" s="823">
        <f t="shared" ref="B39:B46" si="16">M39-M39*$D$71</f>
        <v>6398.3597527994925</v>
      </c>
      <c r="C39" s="1115"/>
      <c r="D39" s="824">
        <f>Wskazniki!B38*'2022 Emisja zaniech'!$B$39</f>
        <v>0</v>
      </c>
      <c r="E39" s="824">
        <f>Wskazniki!C38*'2022 Emisja zaniech'!$B$39</f>
        <v>0</v>
      </c>
      <c r="F39" s="824">
        <f>Wskazniki!D38*'2022 Emisja zaniech'!$B$39</f>
        <v>0</v>
      </c>
      <c r="G39" s="824">
        <f>Wskazniki!E38*'2022 Emisja zaniech'!$B$39</f>
        <v>0</v>
      </c>
      <c r="H39" s="824">
        <f>Wskazniki!F38*'2022 Emisja zaniech'!$B$39</f>
        <v>0</v>
      </c>
      <c r="I39" s="824">
        <f>Wskazniki!G38*'2022 Emisja zaniech'!$B$39</f>
        <v>0</v>
      </c>
      <c r="J39" s="824">
        <f>Wskazniki!H38*'2022 Emisja zaniech'!$B$39</f>
        <v>0</v>
      </c>
      <c r="L39" s="814" t="str">
        <f>A39</f>
        <v>sieć ciepłownicza</v>
      </c>
      <c r="M39" s="825">
        <f t="shared" ref="M39:M46" si="17">N39*$M$48</f>
        <v>6398.3597527994925</v>
      </c>
      <c r="N39" s="828">
        <f>O39</f>
        <v>0.67711922811853897</v>
      </c>
      <c r="O39" s="827">
        <f>'2022 Emisja opti'!O39</f>
        <v>0.67711922811853897</v>
      </c>
      <c r="Q39" s="894">
        <f t="shared" ref="Q39:Q46" si="18">B39+S39</f>
        <v>6398.3597527994925</v>
      </c>
      <c r="R39" s="895" t="s">
        <v>480</v>
      </c>
      <c r="S39" s="896">
        <f t="shared" si="15"/>
        <v>0</v>
      </c>
      <c r="T39" s="1136"/>
      <c r="U39" s="897">
        <f>Wskazniki!AA38*'2032 Emisja opti'!$B$39</f>
        <v>0</v>
      </c>
      <c r="V39" s="897">
        <f>Wskazniki!AB38*'2032 Emisja opti'!$B$39</f>
        <v>0</v>
      </c>
      <c r="W39" s="897">
        <f>Wskazniki!AC38*'2032 Emisja opti'!$B$39</f>
        <v>0</v>
      </c>
      <c r="X39" s="897">
        <f>Wskazniki!AD38*'2032 Emisja opti'!$B$39</f>
        <v>0</v>
      </c>
      <c r="Y39" s="897">
        <f>Wskazniki!AE38*'2032 Emisja opti'!$B$39</f>
        <v>0</v>
      </c>
      <c r="Z39" s="897">
        <f>Wskazniki!AF38*'2032 Emisja opti'!$B$39</f>
        <v>0</v>
      </c>
      <c r="AA39" s="897">
        <f>Wskazniki!AG38*'2032 Emisja opti'!$B$39</f>
        <v>0</v>
      </c>
    </row>
    <row r="40" spans="1:27" ht="15" customHeight="1">
      <c r="A40" s="814" t="s">
        <v>331</v>
      </c>
      <c r="B40" s="823">
        <f>M40-M40*$D$71</f>
        <v>0</v>
      </c>
      <c r="C40" s="1115"/>
      <c r="D40" s="824">
        <f>$B$40*Wskazniki!B39</f>
        <v>0</v>
      </c>
      <c r="E40" s="824">
        <f>$B$40*Wskazniki!C39</f>
        <v>0</v>
      </c>
      <c r="F40" s="824">
        <f>$B$40*Wskazniki!D39</f>
        <v>0</v>
      </c>
      <c r="G40" s="824">
        <f>$B$40*Wskazniki!E39</f>
        <v>0</v>
      </c>
      <c r="H40" s="824">
        <f>$B$40*Wskazniki!F39</f>
        <v>0</v>
      </c>
      <c r="I40" s="824">
        <f>$B$40*Wskazniki!G39</f>
        <v>0</v>
      </c>
      <c r="J40" s="824">
        <f>$B$40*Wskazniki!H39</f>
        <v>0</v>
      </c>
      <c r="L40" s="814" t="s">
        <v>331</v>
      </c>
      <c r="M40" s="968">
        <f>N40*$M$48*1.3</f>
        <v>0</v>
      </c>
      <c r="N40" s="828">
        <f t="shared" ref="N40:N47" si="19">O40</f>
        <v>0</v>
      </c>
      <c r="O40" s="827">
        <f>'2022 Emisja opti'!O40</f>
        <v>0</v>
      </c>
      <c r="Q40" s="894">
        <f t="shared" si="18"/>
        <v>0</v>
      </c>
      <c r="R40" s="895" t="s">
        <v>331</v>
      </c>
      <c r="S40" s="896">
        <f t="shared" si="15"/>
        <v>0</v>
      </c>
      <c r="T40" s="1136"/>
      <c r="U40" s="897">
        <f>$B$40*Wskazniki!AA39</f>
        <v>0</v>
      </c>
      <c r="V40" s="897">
        <f>$B$40*Wskazniki!AB39</f>
        <v>0</v>
      </c>
      <c r="W40" s="897">
        <f>$B$40*Wskazniki!AC39</f>
        <v>0</v>
      </c>
      <c r="X40" s="897">
        <f>$B$40*Wskazniki!AD39</f>
        <v>0</v>
      </c>
      <c r="Y40" s="897">
        <f>$B$40*Wskazniki!AE39</f>
        <v>0</v>
      </c>
      <c r="Z40" s="897">
        <f>$B$40*Wskazniki!AF39</f>
        <v>0</v>
      </c>
      <c r="AA40" s="897">
        <f>$B$40*Wskazniki!AG39</f>
        <v>0</v>
      </c>
    </row>
    <row r="41" spans="1:27">
      <c r="A41" s="814" t="s">
        <v>335</v>
      </c>
      <c r="B41" s="823">
        <f t="shared" si="16"/>
        <v>0</v>
      </c>
      <c r="C41" s="1115"/>
      <c r="D41" s="824">
        <f>$B$41*Wskazniki!B40</f>
        <v>0</v>
      </c>
      <c r="E41" s="824">
        <f>$B$41*Wskazniki!C40</f>
        <v>0</v>
      </c>
      <c r="F41" s="824">
        <f>$B$41*Wskazniki!D40</f>
        <v>0</v>
      </c>
      <c r="G41" s="824">
        <f>$B$41*Wskazniki!E40</f>
        <v>0</v>
      </c>
      <c r="H41" s="824">
        <f>$B$41*Wskazniki!F40</f>
        <v>0</v>
      </c>
      <c r="I41" s="824">
        <f>$B$41*Wskazniki!G40</f>
        <v>0</v>
      </c>
      <c r="J41" s="824">
        <f>$B$41*Wskazniki!H40</f>
        <v>0</v>
      </c>
      <c r="L41" s="814" t="s">
        <v>335</v>
      </c>
      <c r="M41" s="825">
        <f t="shared" si="17"/>
        <v>0</v>
      </c>
      <c r="N41" s="828">
        <f t="shared" si="19"/>
        <v>0</v>
      </c>
      <c r="O41" s="827">
        <f>'2022 Emisja opti'!O41</f>
        <v>0</v>
      </c>
      <c r="Q41" s="894">
        <f t="shared" si="18"/>
        <v>0</v>
      </c>
      <c r="R41" s="895" t="s">
        <v>335</v>
      </c>
      <c r="S41" s="896">
        <f t="shared" si="15"/>
        <v>0</v>
      </c>
      <c r="T41" s="1136"/>
      <c r="U41" s="897">
        <f>$S$41*Wskazniki!K40</f>
        <v>0</v>
      </c>
      <c r="V41" s="897">
        <f>$S$41*Wskazniki!L40</f>
        <v>0</v>
      </c>
      <c r="W41" s="897">
        <f>$S$41*Wskazniki!M40</f>
        <v>0</v>
      </c>
      <c r="X41" s="897">
        <f>$S$41*Wskazniki!N40</f>
        <v>0</v>
      </c>
      <c r="Y41" s="897">
        <f>$S$41*Wskazniki!O40</f>
        <v>0</v>
      </c>
      <c r="Z41" s="897">
        <f>$S$41*Wskazniki!P40</f>
        <v>0</v>
      </c>
      <c r="AA41" s="897">
        <f>$S$41*Wskazniki!Q40</f>
        <v>0</v>
      </c>
    </row>
    <row r="42" spans="1:27">
      <c r="A42" s="814" t="s">
        <v>337</v>
      </c>
      <c r="B42" s="823">
        <f t="shared" si="16"/>
        <v>0</v>
      </c>
      <c r="C42" s="1115"/>
      <c r="D42" s="824">
        <f>$B$42*Wskazniki!B41</f>
        <v>0</v>
      </c>
      <c r="E42" s="824">
        <f>$B$42*Wskazniki!C41</f>
        <v>0</v>
      </c>
      <c r="F42" s="824">
        <f>$B$42*Wskazniki!D41</f>
        <v>0</v>
      </c>
      <c r="G42" s="824">
        <f>$B$42*Wskazniki!E41</f>
        <v>0</v>
      </c>
      <c r="H42" s="824">
        <f>$B$42*Wskazniki!F41</f>
        <v>0</v>
      </c>
      <c r="I42" s="824">
        <f>$B$42*Wskazniki!G41</f>
        <v>0</v>
      </c>
      <c r="J42" s="824">
        <f>$B$42*Wskazniki!H41</f>
        <v>0</v>
      </c>
      <c r="L42" s="814" t="s">
        <v>337</v>
      </c>
      <c r="M42" s="825">
        <f t="shared" si="17"/>
        <v>0</v>
      </c>
      <c r="N42" s="828">
        <f t="shared" si="19"/>
        <v>0</v>
      </c>
      <c r="O42" s="827">
        <f>'2022 Emisja opti'!O42</f>
        <v>0</v>
      </c>
      <c r="Q42" s="894">
        <f t="shared" si="18"/>
        <v>0</v>
      </c>
      <c r="R42" s="895" t="s">
        <v>337</v>
      </c>
      <c r="S42" s="896">
        <f t="shared" si="15"/>
        <v>0</v>
      </c>
      <c r="T42" s="1136"/>
      <c r="U42" s="897">
        <f>$S$42*Wskazniki!K41</f>
        <v>0</v>
      </c>
      <c r="V42" s="897">
        <f>$S$42*Wskazniki!L41</f>
        <v>0</v>
      </c>
      <c r="W42" s="897">
        <f>$S$42*Wskazniki!M41</f>
        <v>0</v>
      </c>
      <c r="X42" s="897">
        <f>$S$42*Wskazniki!N41</f>
        <v>0</v>
      </c>
      <c r="Y42" s="897">
        <f>$S$42*Wskazniki!O41</f>
        <v>0</v>
      </c>
      <c r="Z42" s="897">
        <f>$S$42*Wskazniki!P41</f>
        <v>0</v>
      </c>
      <c r="AA42" s="897">
        <f>$S$42*Wskazniki!Q41</f>
        <v>0</v>
      </c>
    </row>
    <row r="43" spans="1:27">
      <c r="A43" s="814" t="s">
        <v>338</v>
      </c>
      <c r="B43" s="823">
        <f t="shared" si="16"/>
        <v>848.63740996100148</v>
      </c>
      <c r="C43" s="1115"/>
      <c r="D43" s="824">
        <f>$B$43*Wskazniki!B42</f>
        <v>2.5459122298830046E-3</v>
      </c>
      <c r="E43" s="824">
        <f>$B$43*Wskazniki!C42</f>
        <v>2.5459122298830046E-3</v>
      </c>
      <c r="F43" s="824">
        <f>$B$43*Wskazniki!D42</f>
        <v>64.997139228913113</v>
      </c>
      <c r="G43" s="824">
        <f>$B$43*Wskazniki!E42</f>
        <v>8.4863740996100153E-6</v>
      </c>
      <c r="H43" s="824">
        <f>$B$43*Wskazniki!F42</f>
        <v>0.11880923739454019</v>
      </c>
      <c r="I43" s="824">
        <f>$B$43*Wskazniki!G42</f>
        <v>5.9404618697270095E-2</v>
      </c>
      <c r="J43" s="824">
        <f>$B$43*Wskazniki!H42</f>
        <v>1.3793373910182274E-2</v>
      </c>
      <c r="L43" s="814" t="s">
        <v>587</v>
      </c>
      <c r="M43" s="825">
        <f t="shared" si="17"/>
        <v>848.63740996100148</v>
      </c>
      <c r="N43" s="828">
        <f t="shared" si="19"/>
        <v>8.9808752584424542E-2</v>
      </c>
      <c r="O43" s="827">
        <f>'2022 Emisja opti'!O43</f>
        <v>8.9808752584424542E-2</v>
      </c>
      <c r="Q43" s="894">
        <f t="shared" si="18"/>
        <v>848.63740996100148</v>
      </c>
      <c r="R43" s="895" t="s">
        <v>338</v>
      </c>
      <c r="S43" s="896">
        <f t="shared" si="15"/>
        <v>0</v>
      </c>
      <c r="T43" s="1136"/>
      <c r="U43" s="897">
        <f>$B$43*Wskazniki!AA42</f>
        <v>0</v>
      </c>
      <c r="V43" s="897">
        <f>$B$43*Wskazniki!AB42</f>
        <v>0</v>
      </c>
      <c r="W43" s="897">
        <f>$B$43*Wskazniki!AC42</f>
        <v>0</v>
      </c>
      <c r="X43" s="897">
        <f>$B$43*Wskazniki!AD42</f>
        <v>0</v>
      </c>
      <c r="Y43" s="897">
        <f>$B$43*Wskazniki!AE42</f>
        <v>0</v>
      </c>
      <c r="Z43" s="897">
        <f>$B$43*Wskazniki!AF42</f>
        <v>0</v>
      </c>
      <c r="AA43" s="897">
        <f>$B$43*Wskazniki!AG42</f>
        <v>0</v>
      </c>
    </row>
    <row r="44" spans="1:27" ht="15" customHeight="1">
      <c r="A44" s="814" t="s">
        <v>531</v>
      </c>
      <c r="B44" s="823">
        <f t="shared" si="16"/>
        <v>0</v>
      </c>
      <c r="C44" s="1115"/>
      <c r="D44" s="824">
        <v>0</v>
      </c>
      <c r="E44" s="824">
        <v>0</v>
      </c>
      <c r="F44" s="824">
        <f>(C38*Wskazniki!D43)+(B44+M44)*Wskazniki!D43</f>
        <v>200.15799999999999</v>
      </c>
      <c r="G44" s="824">
        <v>0</v>
      </c>
      <c r="H44" s="824">
        <v>0</v>
      </c>
      <c r="I44" s="824">
        <v>0</v>
      </c>
      <c r="J44" s="824">
        <v>0</v>
      </c>
      <c r="L44" s="814" t="s">
        <v>531</v>
      </c>
      <c r="M44" s="825">
        <f t="shared" si="17"/>
        <v>0</v>
      </c>
      <c r="N44" s="828">
        <f t="shared" si="19"/>
        <v>0</v>
      </c>
      <c r="O44" s="827">
        <f>'2022 Emisja opti'!O44</f>
        <v>0</v>
      </c>
      <c r="Q44" s="894">
        <f t="shared" si="18"/>
        <v>0</v>
      </c>
      <c r="R44" s="895" t="s">
        <v>531</v>
      </c>
      <c r="S44" s="896">
        <f t="shared" si="15"/>
        <v>0</v>
      </c>
      <c r="T44" s="1136"/>
      <c r="U44" s="897">
        <v>0</v>
      </c>
      <c r="V44" s="897">
        <v>0</v>
      </c>
      <c r="W44" s="897">
        <f>(T38*Wskazniki!AC43)</f>
        <v>0</v>
      </c>
      <c r="X44" s="897">
        <v>0</v>
      </c>
      <c r="Y44" s="897">
        <v>0</v>
      </c>
      <c r="Z44" s="897">
        <v>0</v>
      </c>
      <c r="AA44" s="897">
        <v>0</v>
      </c>
    </row>
    <row r="45" spans="1:27">
      <c r="A45" s="831" t="s">
        <v>588</v>
      </c>
      <c r="B45" s="823">
        <f t="shared" si="16"/>
        <v>0</v>
      </c>
      <c r="C45" s="1115"/>
      <c r="D45" s="824"/>
      <c r="E45" s="824"/>
      <c r="F45" s="824"/>
      <c r="G45" s="824"/>
      <c r="H45" s="824"/>
      <c r="I45" s="824"/>
      <c r="J45" s="824"/>
      <c r="L45" s="814" t="s">
        <v>482</v>
      </c>
      <c r="M45" s="825">
        <f t="shared" si="17"/>
        <v>0</v>
      </c>
      <c r="N45" s="828">
        <f t="shared" si="19"/>
        <v>0</v>
      </c>
      <c r="O45" s="827">
        <f>'2022 Emisja opti'!O45</f>
        <v>0</v>
      </c>
      <c r="Q45" s="894">
        <f t="shared" si="18"/>
        <v>0</v>
      </c>
      <c r="R45" s="890" t="str">
        <f>R29</f>
        <v>kolektory słoneczne</v>
      </c>
      <c r="S45" s="896">
        <f t="shared" si="15"/>
        <v>0</v>
      </c>
      <c r="T45" s="1136"/>
      <c r="U45" s="897"/>
      <c r="V45" s="897"/>
      <c r="W45" s="897"/>
      <c r="X45" s="897"/>
      <c r="Y45" s="897"/>
      <c r="Z45" s="897"/>
      <c r="AA45" s="897"/>
    </row>
    <row r="46" spans="1:27">
      <c r="A46" s="831" t="str">
        <f>L46</f>
        <v>OŹE (pompy ciepła)</v>
      </c>
      <c r="B46" s="823">
        <f t="shared" si="16"/>
        <v>0</v>
      </c>
      <c r="C46" s="1116"/>
      <c r="D46" s="824"/>
      <c r="E46" s="824"/>
      <c r="F46" s="824"/>
      <c r="G46" s="824"/>
      <c r="H46" s="824"/>
      <c r="I46" s="824"/>
      <c r="J46" s="824"/>
      <c r="L46" s="814" t="s">
        <v>589</v>
      </c>
      <c r="M46" s="825">
        <f t="shared" si="17"/>
        <v>0</v>
      </c>
      <c r="N46" s="828">
        <f t="shared" si="19"/>
        <v>0</v>
      </c>
      <c r="O46" s="827">
        <f>'2022 Emisja opti'!O46</f>
        <v>0</v>
      </c>
      <c r="Q46" s="894">
        <f t="shared" si="18"/>
        <v>0</v>
      </c>
      <c r="R46" s="890" t="str">
        <f>R30</f>
        <v>pompy ciepła</v>
      </c>
      <c r="S46" s="896">
        <f t="shared" si="15"/>
        <v>0</v>
      </c>
      <c r="T46" s="1137"/>
      <c r="U46" s="897"/>
      <c r="V46" s="897"/>
      <c r="W46" s="897"/>
      <c r="X46" s="897"/>
      <c r="Y46" s="897"/>
      <c r="Z46" s="897"/>
      <c r="AA46" s="897"/>
    </row>
    <row r="47" spans="1:27">
      <c r="A47" s="832" t="s">
        <v>590</v>
      </c>
      <c r="B47" s="833">
        <f>SUM(B38:B46)</f>
        <v>9449.3842252540089</v>
      </c>
      <c r="C47" s="834">
        <f>C38</f>
        <v>246.49999999999997</v>
      </c>
      <c r="D47" s="835">
        <f>SUM(D38:D46)</f>
        <v>0.4980830012909237</v>
      </c>
      <c r="E47" s="835">
        <f t="shared" ref="E47:J47" si="20">SUM(E38:E46)</f>
        <v>0.44522571179107939</v>
      </c>
      <c r="F47" s="835">
        <f t="shared" si="20"/>
        <v>471.60690246705508</v>
      </c>
      <c r="G47" s="836">
        <f t="shared" si="20"/>
        <v>6.0313088097285891E-4</v>
      </c>
      <c r="H47" s="835">
        <f t="shared" si="20"/>
        <v>2.1009575936387028</v>
      </c>
      <c r="I47" s="835">
        <f t="shared" si="20"/>
        <v>0.40738177457124536</v>
      </c>
      <c r="J47" s="835">
        <f t="shared" si="20"/>
        <v>4.4441652027974481</v>
      </c>
      <c r="L47" s="829"/>
      <c r="M47" s="825">
        <f t="shared" ref="M47" si="21">N47*$M$16</f>
        <v>0</v>
      </c>
      <c r="N47" s="828">
        <f t="shared" si="19"/>
        <v>0</v>
      </c>
      <c r="O47" s="827">
        <f>'2022 Emisja opti'!O47</f>
        <v>0</v>
      </c>
      <c r="Q47" s="894">
        <f>SUM(Q38:Q46)</f>
        <v>9449.3842252540089</v>
      </c>
      <c r="R47" s="899" t="s">
        <v>590</v>
      </c>
      <c r="S47" s="900">
        <f>SUM(S38:S46)</f>
        <v>0</v>
      </c>
      <c r="T47" s="901">
        <f>T38</f>
        <v>0</v>
      </c>
      <c r="U47" s="902">
        <f>U38+U41+U42</f>
        <v>0</v>
      </c>
      <c r="V47" s="902">
        <f t="shared" ref="V47:AA47" si="22">V38+V41+V42</f>
        <v>0</v>
      </c>
      <c r="W47" s="902">
        <f t="shared" si="22"/>
        <v>0</v>
      </c>
      <c r="X47" s="902">
        <f t="shared" si="22"/>
        <v>0</v>
      </c>
      <c r="Y47" s="902">
        <f t="shared" si="22"/>
        <v>0</v>
      </c>
      <c r="Z47" s="902">
        <f t="shared" si="22"/>
        <v>0</v>
      </c>
      <c r="AA47" s="902">
        <f t="shared" si="22"/>
        <v>0</v>
      </c>
    </row>
    <row r="48" spans="1:27">
      <c r="B48" s="837"/>
      <c r="D48" s="838">
        <f>D47</f>
        <v>0.4980830012909237</v>
      </c>
      <c r="E48" s="838">
        <f>E47</f>
        <v>0.44522571179107939</v>
      </c>
      <c r="F48" s="815">
        <f>F47/100</f>
        <v>4.716069024670551</v>
      </c>
      <c r="G48" s="838">
        <f>G47</f>
        <v>6.0313088097285891E-4</v>
      </c>
      <c r="H48" s="838">
        <f>H47</f>
        <v>2.1009575936387028</v>
      </c>
      <c r="I48" s="838">
        <f>I47</f>
        <v>0.40738177457124536</v>
      </c>
      <c r="J48" s="838">
        <f>J47</f>
        <v>4.4441652027974481</v>
      </c>
      <c r="L48" s="829" t="s">
        <v>297</v>
      </c>
      <c r="M48" s="839">
        <f>ZANIECH!R11</f>
        <v>9449.3842252540089</v>
      </c>
      <c r="N48" s="840">
        <f>SUM(N38:N47)</f>
        <v>1</v>
      </c>
      <c r="O48" s="841">
        <f>SUM(O38:O47)</f>
        <v>1</v>
      </c>
      <c r="Q48" s="894"/>
      <c r="S48" s="903"/>
    </row>
    <row r="49" spans="1:27" ht="9.75" customHeight="1">
      <c r="A49" s="1124"/>
      <c r="B49" s="1124"/>
      <c r="C49" s="1124"/>
      <c r="D49" s="1124"/>
      <c r="E49" s="1124"/>
      <c r="F49" s="1124"/>
      <c r="G49" s="1124"/>
      <c r="H49" s="1124"/>
      <c r="I49" s="1124"/>
      <c r="J49" s="1124"/>
      <c r="K49" s="1124"/>
      <c r="L49" s="1124"/>
      <c r="M49" s="1124"/>
      <c r="N49" s="1124"/>
      <c r="O49" s="1124"/>
    </row>
    <row r="50" spans="1:27" ht="15">
      <c r="A50" s="1117" t="s">
        <v>326</v>
      </c>
      <c r="B50" s="1117"/>
      <c r="C50" s="1117"/>
      <c r="D50" s="1117"/>
      <c r="E50" s="1117"/>
      <c r="F50" s="1117"/>
      <c r="G50" s="1117"/>
      <c r="H50" s="1117"/>
      <c r="I50" s="1117"/>
      <c r="J50" s="1117"/>
      <c r="R50" s="1138" t="s">
        <v>326</v>
      </c>
      <c r="S50" s="1138"/>
      <c r="T50" s="1138"/>
      <c r="U50" s="1138"/>
      <c r="V50" s="1138"/>
      <c r="W50" s="1138"/>
      <c r="X50" s="1138"/>
      <c r="Y50" s="1138"/>
      <c r="Z50" s="1138"/>
      <c r="AA50" s="1138"/>
    </row>
    <row r="51" spans="1:27">
      <c r="A51" s="1118" t="s">
        <v>582</v>
      </c>
      <c r="B51" s="1118"/>
      <c r="C51" s="1118"/>
      <c r="D51" s="1119" t="s">
        <v>583</v>
      </c>
      <c r="E51" s="1119"/>
      <c r="F51" s="1119"/>
      <c r="G51" s="1119"/>
      <c r="H51" s="1119"/>
      <c r="I51" s="1119"/>
      <c r="J51" s="1119"/>
      <c r="R51" s="1139" t="s">
        <v>582</v>
      </c>
      <c r="S51" s="1139"/>
      <c r="T51" s="1139"/>
      <c r="U51" s="1140" t="s">
        <v>583</v>
      </c>
      <c r="V51" s="1140"/>
      <c r="W51" s="1140"/>
      <c r="X51" s="1140"/>
      <c r="Y51" s="1140"/>
      <c r="Z51" s="1140"/>
      <c r="AA51" s="1140"/>
    </row>
    <row r="52" spans="1:27" s="816" customFormat="1" ht="46.5" customHeight="1">
      <c r="A52" s="1120" t="s">
        <v>516</v>
      </c>
      <c r="B52" s="1122" t="s">
        <v>591</v>
      </c>
      <c r="C52" s="1120" t="s">
        <v>594</v>
      </c>
      <c r="D52" s="1119"/>
      <c r="E52" s="1119"/>
      <c r="F52" s="1119"/>
      <c r="G52" s="1119"/>
      <c r="H52" s="1119"/>
      <c r="I52" s="1119"/>
      <c r="J52" s="1119"/>
      <c r="L52" s="1125" t="s">
        <v>592</v>
      </c>
      <c r="M52" s="1125"/>
      <c r="N52" s="1125"/>
      <c r="O52" s="817" t="s">
        <v>593</v>
      </c>
      <c r="P52" s="818"/>
      <c r="Q52" s="891"/>
      <c r="R52" s="1132" t="s">
        <v>516</v>
      </c>
      <c r="S52" s="1134" t="s">
        <v>591</v>
      </c>
      <c r="T52" s="1132" t="s">
        <v>594</v>
      </c>
      <c r="U52" s="1140"/>
      <c r="V52" s="1140"/>
      <c r="W52" s="1140"/>
      <c r="X52" s="1140"/>
      <c r="Y52" s="1140"/>
      <c r="Z52" s="1140"/>
      <c r="AA52" s="1140"/>
    </row>
    <row r="53" spans="1:27" s="816" customFormat="1" ht="14.25" customHeight="1">
      <c r="A53" s="1121"/>
      <c r="B53" s="1122"/>
      <c r="C53" s="1121"/>
      <c r="D53" s="819" t="s">
        <v>560</v>
      </c>
      <c r="E53" s="819" t="s">
        <v>561</v>
      </c>
      <c r="F53" s="819" t="s">
        <v>584</v>
      </c>
      <c r="G53" s="819" t="s">
        <v>461</v>
      </c>
      <c r="H53" s="819" t="s">
        <v>569</v>
      </c>
      <c r="I53" s="820" t="s">
        <v>571</v>
      </c>
      <c r="J53" s="819" t="s">
        <v>363</v>
      </c>
      <c r="L53" s="822" t="s">
        <v>585</v>
      </c>
      <c r="M53" s="822" t="s">
        <v>586</v>
      </c>
      <c r="N53" s="822">
        <v>2020</v>
      </c>
      <c r="O53" s="821">
        <v>2016</v>
      </c>
      <c r="Q53" s="891"/>
      <c r="R53" s="1133"/>
      <c r="S53" s="1134"/>
      <c r="T53" s="1133"/>
      <c r="U53" s="892" t="s">
        <v>560</v>
      </c>
      <c r="V53" s="892" t="s">
        <v>561</v>
      </c>
      <c r="W53" s="892" t="s">
        <v>584</v>
      </c>
      <c r="X53" s="892" t="s">
        <v>461</v>
      </c>
      <c r="Y53" s="892" t="s">
        <v>569</v>
      </c>
      <c r="Z53" s="893" t="s">
        <v>571</v>
      </c>
      <c r="AA53" s="892" t="s">
        <v>363</v>
      </c>
    </row>
    <row r="54" spans="1:27" ht="15" customHeight="1">
      <c r="A54" s="814" t="s">
        <v>479</v>
      </c>
      <c r="B54" s="823">
        <f>M54-M54*$D$72</f>
        <v>53861.558788184346</v>
      </c>
      <c r="C54" s="1114">
        <f>'2022 Emisja opti'!C54</f>
        <v>19474.678342160056</v>
      </c>
      <c r="D54" s="824">
        <f>$B$54*Wskazniki!B37</f>
        <v>12.118850727341478</v>
      </c>
      <c r="E54" s="824">
        <f>$B$54*Wskazniki!C37</f>
        <v>10.826173316425054</v>
      </c>
      <c r="F54" s="824">
        <f>$B$54*Wskazniki!D37</f>
        <v>5048.9825208044003</v>
      </c>
      <c r="G54" s="824">
        <f>$B$54*Wskazniki!E37</f>
        <v>1.4542620872809773E-2</v>
      </c>
      <c r="H54" s="824">
        <f>$B$54*Wskazniki!F37</f>
        <v>48.475402909365911</v>
      </c>
      <c r="I54" s="824">
        <f>$B$54*Wskazniki!G37</f>
        <v>8.5101262885331259</v>
      </c>
      <c r="J54" s="824">
        <f>$B$54*Wskazniki!H37</f>
        <v>108.34913479965559</v>
      </c>
      <c r="L54" s="814" t="s">
        <v>479</v>
      </c>
      <c r="M54" s="825">
        <f>N54*$M$64</f>
        <v>53861.558788184346</v>
      </c>
      <c r="N54" s="826">
        <f>100%-N55-N56-N57-N58-N59-N60-N61-N62</f>
        <v>0.73</v>
      </c>
      <c r="O54" s="827">
        <f>'2022 Emisja opti'!O54</f>
        <v>0.73</v>
      </c>
      <c r="Q54" s="894">
        <f>B54+S54</f>
        <v>53861.558788184346</v>
      </c>
      <c r="R54" s="895" t="s">
        <v>479</v>
      </c>
      <c r="S54" s="896">
        <f t="shared" ref="S54:S62" si="23">M54*$D$72</f>
        <v>0</v>
      </c>
      <c r="T54" s="1135"/>
      <c r="U54" s="897">
        <f>$S$54*Wskazniki!K37</f>
        <v>0</v>
      </c>
      <c r="V54" s="897">
        <f>$S$54*Wskazniki!L37</f>
        <v>0</v>
      </c>
      <c r="W54" s="897">
        <f>$S$54*Wskazniki!M37</f>
        <v>0</v>
      </c>
      <c r="X54" s="897">
        <f>$S$54*Wskazniki!N37</f>
        <v>0</v>
      </c>
      <c r="Y54" s="897">
        <f>$S$54*Wskazniki!O37</f>
        <v>0</v>
      </c>
      <c r="Z54" s="897">
        <f>$S$54*Wskazniki!P37</f>
        <v>0</v>
      </c>
      <c r="AA54" s="897">
        <f>$S$54*Wskazniki!Q37</f>
        <v>0</v>
      </c>
    </row>
    <row r="55" spans="1:27">
      <c r="A55" s="814" t="s">
        <v>480</v>
      </c>
      <c r="B55" s="823">
        <f t="shared" ref="B55:B62" si="24">M55-M55*$D$72</f>
        <v>0</v>
      </c>
      <c r="C55" s="1115"/>
      <c r="D55" s="824">
        <f>Wskazniki!B38*'2022 Emisja zaniech'!$B$55</f>
        <v>0</v>
      </c>
      <c r="E55" s="824">
        <f>Wskazniki!C38*'2022 Emisja zaniech'!$B$55</f>
        <v>0</v>
      </c>
      <c r="F55" s="824">
        <f>Wskazniki!D38*'2022 Emisja zaniech'!$B$55</f>
        <v>0</v>
      </c>
      <c r="G55" s="824">
        <f>Wskazniki!E38*'2022 Emisja zaniech'!$B$55</f>
        <v>0</v>
      </c>
      <c r="H55" s="824">
        <f>Wskazniki!F38*'2022 Emisja zaniech'!$B$55</f>
        <v>0</v>
      </c>
      <c r="I55" s="824">
        <f>Wskazniki!G38*'2022 Emisja zaniech'!$B$55</f>
        <v>0</v>
      </c>
      <c r="J55" s="824">
        <f>Wskazniki!H38*'2022 Emisja zaniech'!$B$55</f>
        <v>0</v>
      </c>
      <c r="L55" s="814" t="str">
        <f>A55</f>
        <v>sieć ciepłownicza</v>
      </c>
      <c r="M55" s="825">
        <f t="shared" ref="M55:M63" si="25">N55*$M$64</f>
        <v>0</v>
      </c>
      <c r="N55" s="828">
        <f>O55</f>
        <v>0</v>
      </c>
      <c r="O55" s="827">
        <f>'2022 Emisja opti'!O55</f>
        <v>0</v>
      </c>
      <c r="Q55" s="894">
        <f t="shared" ref="Q55:Q62" si="26">B55+S55</f>
        <v>0</v>
      </c>
      <c r="R55" s="895" t="s">
        <v>480</v>
      </c>
      <c r="S55" s="896">
        <f t="shared" si="23"/>
        <v>0</v>
      </c>
      <c r="T55" s="1136"/>
      <c r="U55" s="897">
        <f>Wskazniki!AA38*'2032 Emisja opti'!$B$55</f>
        <v>0</v>
      </c>
      <c r="V55" s="897">
        <f>Wskazniki!AB38*'2032 Emisja opti'!$B$55</f>
        <v>0</v>
      </c>
      <c r="W55" s="897">
        <f>Wskazniki!AC38*'2032 Emisja opti'!$B$55</f>
        <v>0</v>
      </c>
      <c r="X55" s="897">
        <f>Wskazniki!AD38*'2032 Emisja opti'!$B$55</f>
        <v>0</v>
      </c>
      <c r="Y55" s="897">
        <f>Wskazniki!AE38*'2032 Emisja opti'!$B$55</f>
        <v>0</v>
      </c>
      <c r="Z55" s="897">
        <f>Wskazniki!AF38*'2032 Emisja opti'!$B$55</f>
        <v>0</v>
      </c>
      <c r="AA55" s="897">
        <f>Wskazniki!AG38*'2032 Emisja opti'!$B$55</f>
        <v>0</v>
      </c>
    </row>
    <row r="56" spans="1:27" ht="15" customHeight="1">
      <c r="A56" s="814" t="s">
        <v>331</v>
      </c>
      <c r="B56" s="823">
        <f>M56-M56*$D$72</f>
        <v>6640.466151967933</v>
      </c>
      <c r="C56" s="1115"/>
      <c r="D56" s="824">
        <f>$B$56*Wskazniki!B39</f>
        <v>3.3202330759839662E-3</v>
      </c>
      <c r="E56" s="824">
        <f>$B$56*Wskazniki!C39</f>
        <v>3.3202330759839662E-3</v>
      </c>
      <c r="F56" s="824">
        <f>$B$56*Wskazniki!D39</f>
        <v>370.67082060285003</v>
      </c>
      <c r="G56" s="824">
        <f>$B$56*Wskazniki!E39</f>
        <v>0</v>
      </c>
      <c r="H56" s="824">
        <f>$B$56*Wskazniki!F39</f>
        <v>3.3202330759839662E-3</v>
      </c>
      <c r="I56" s="824">
        <f>$B$56*Wskazniki!G39</f>
        <v>0.33202330759839666</v>
      </c>
      <c r="J56" s="824">
        <f>$B$56*Wskazniki!H39</f>
        <v>4.9803496139759498E-2</v>
      </c>
      <c r="L56" s="814" t="s">
        <v>331</v>
      </c>
      <c r="M56" s="825">
        <f t="shared" si="25"/>
        <v>6640.466151967933</v>
      </c>
      <c r="N56" s="828">
        <f t="shared" ref="N56:N62" si="27">O56</f>
        <v>0.09</v>
      </c>
      <c r="O56" s="827">
        <f>'2022 Emisja opti'!O56</f>
        <v>0.09</v>
      </c>
      <c r="Q56" s="894">
        <f t="shared" si="26"/>
        <v>6640.466151967933</v>
      </c>
      <c r="R56" s="895" t="s">
        <v>331</v>
      </c>
      <c r="S56" s="896">
        <f t="shared" si="23"/>
        <v>0</v>
      </c>
      <c r="T56" s="1136"/>
      <c r="U56" s="897">
        <f>$B$56*Wskazniki!AA41</f>
        <v>0</v>
      </c>
      <c r="V56" s="897">
        <f>$B$56*Wskazniki!AB41</f>
        <v>0</v>
      </c>
      <c r="W56" s="897">
        <f>$B$56*Wskazniki!AC41</f>
        <v>0</v>
      </c>
      <c r="X56" s="897">
        <f>$B$56*Wskazniki!AD41</f>
        <v>0</v>
      </c>
      <c r="Y56" s="897">
        <f>$B$56*Wskazniki!AE41</f>
        <v>0</v>
      </c>
      <c r="Z56" s="897">
        <f>$B$56*Wskazniki!AF41</f>
        <v>0</v>
      </c>
      <c r="AA56" s="897">
        <f>$B$56*Wskazniki!AG41</f>
        <v>0</v>
      </c>
    </row>
    <row r="57" spans="1:27">
      <c r="A57" s="814" t="s">
        <v>335</v>
      </c>
      <c r="B57" s="823">
        <f t="shared" si="24"/>
        <v>5902.6365795270522</v>
      </c>
      <c r="C57" s="1115"/>
      <c r="D57" s="824">
        <f>$B$57*Wskazniki!B40</f>
        <v>2.8332655581729851</v>
      </c>
      <c r="E57" s="824">
        <f>$B$57*Wskazniki!C40</f>
        <v>2.7742391923777143</v>
      </c>
      <c r="F57" s="824">
        <f>$B$57*Wskazniki!D40</f>
        <v>0</v>
      </c>
      <c r="G57" s="824">
        <f>$B$57*Wskazniki!E40</f>
        <v>7.1421902612277342E-4</v>
      </c>
      <c r="H57" s="824">
        <f>$B$57*Wskazniki!F40</f>
        <v>6.4929002374797568E-2</v>
      </c>
      <c r="I57" s="824">
        <f>$B$57*Wskazniki!G40</f>
        <v>0.47221092636216422</v>
      </c>
      <c r="J57" s="824">
        <f>$B$57*Wskazniki!H40</f>
        <v>1.058933002367153</v>
      </c>
      <c r="L57" s="814" t="s">
        <v>335</v>
      </c>
      <c r="M57" s="825">
        <f t="shared" si="25"/>
        <v>5902.6365795270522</v>
      </c>
      <c r="N57" s="828">
        <f t="shared" si="27"/>
        <v>0.08</v>
      </c>
      <c r="O57" s="827">
        <f>'2022 Emisja opti'!O57</f>
        <v>0.08</v>
      </c>
      <c r="Q57" s="894">
        <f t="shared" si="26"/>
        <v>5902.6365795270522</v>
      </c>
      <c r="R57" s="895" t="s">
        <v>335</v>
      </c>
      <c r="S57" s="896">
        <f t="shared" si="23"/>
        <v>0</v>
      </c>
      <c r="T57" s="1136"/>
      <c r="U57" s="897">
        <f>$S$57*Wskazniki!K40</f>
        <v>0</v>
      </c>
      <c r="V57" s="897">
        <f>$S$57*Wskazniki!L40</f>
        <v>0</v>
      </c>
      <c r="W57" s="897">
        <f>$S$57*Wskazniki!M40</f>
        <v>0</v>
      </c>
      <c r="X57" s="897">
        <f>$S$57*Wskazniki!N40</f>
        <v>0</v>
      </c>
      <c r="Y57" s="897">
        <f>$S$57*Wskazniki!O40</f>
        <v>0</v>
      </c>
      <c r="Z57" s="897">
        <f>$S$57*Wskazniki!P40</f>
        <v>0</v>
      </c>
      <c r="AA57" s="897">
        <f>$S$57*Wskazniki!Q40</f>
        <v>0</v>
      </c>
    </row>
    <row r="58" spans="1:27">
      <c r="A58" s="814" t="s">
        <v>337</v>
      </c>
      <c r="B58" s="823">
        <f t="shared" si="24"/>
        <v>3394.0160332280557</v>
      </c>
      <c r="C58" s="1115"/>
      <c r="D58" s="824">
        <f>$B$58*Wskazniki!B41</f>
        <v>1.6291276959494667</v>
      </c>
      <c r="E58" s="824">
        <f>$B$58*Wskazniki!C41</f>
        <v>1.5951875356171861</v>
      </c>
      <c r="F58" s="824">
        <f>$B$58*Wskazniki!D41</f>
        <v>0</v>
      </c>
      <c r="G58" s="824">
        <f>$B$58*Wskazniki!E41</f>
        <v>4.1067594002059478E-4</v>
      </c>
      <c r="H58" s="824">
        <f>$B$58*Wskazniki!F41</f>
        <v>3.7334176365508613E-2</v>
      </c>
      <c r="I58" s="824">
        <f>$B$58*Wskazniki!G41</f>
        <v>0.27152128265824449</v>
      </c>
      <c r="J58" s="824">
        <f>$B$58*Wskazniki!H41</f>
        <v>0.60888647636111315</v>
      </c>
      <c r="L58" s="814" t="s">
        <v>337</v>
      </c>
      <c r="M58" s="825">
        <f t="shared" si="25"/>
        <v>3394.0160332280557</v>
      </c>
      <c r="N58" s="828">
        <f t="shared" si="27"/>
        <v>4.6000000000000013E-2</v>
      </c>
      <c r="O58" s="827">
        <f>'2022 Emisja opti'!O58</f>
        <v>4.6000000000000013E-2</v>
      </c>
      <c r="Q58" s="894">
        <f t="shared" si="26"/>
        <v>3394.0160332280557</v>
      </c>
      <c r="R58" s="895" t="s">
        <v>337</v>
      </c>
      <c r="S58" s="896">
        <f t="shared" si="23"/>
        <v>0</v>
      </c>
      <c r="T58" s="1136"/>
      <c r="U58" s="897">
        <f>$S$58*Wskazniki!K41</f>
        <v>0</v>
      </c>
      <c r="V58" s="897">
        <f>$S$58*Wskazniki!L41</f>
        <v>0</v>
      </c>
      <c r="W58" s="897">
        <f>$S$58*Wskazniki!M41</f>
        <v>0</v>
      </c>
      <c r="X58" s="897">
        <f>$S$58*Wskazniki!N41</f>
        <v>0</v>
      </c>
      <c r="Y58" s="897">
        <f>$S$58*Wskazniki!O41</f>
        <v>0</v>
      </c>
      <c r="Z58" s="897">
        <f>$S$58*Wskazniki!P41</f>
        <v>0</v>
      </c>
      <c r="AA58" s="897">
        <f>$S$58*Wskazniki!Q41</f>
        <v>0</v>
      </c>
    </row>
    <row r="59" spans="1:27">
      <c r="A59" s="814" t="s">
        <v>338</v>
      </c>
      <c r="B59" s="823">
        <f t="shared" si="24"/>
        <v>2951.3182897635261</v>
      </c>
      <c r="C59" s="1115"/>
      <c r="D59" s="824">
        <f>$B$59*Wskazniki!B42</f>
        <v>8.8539548692905777E-3</v>
      </c>
      <c r="E59" s="824">
        <f>$B$59*Wskazniki!C42</f>
        <v>8.8539548692905777E-3</v>
      </c>
      <c r="F59" s="824">
        <f>$B$59*Wskazniki!D42</f>
        <v>226.04146781298849</v>
      </c>
      <c r="G59" s="824">
        <f>$B$59*Wskazniki!E42</f>
        <v>2.9513182897635263E-5</v>
      </c>
      <c r="H59" s="824">
        <f>$B$59*Wskazniki!F42</f>
        <v>0.41318456056689362</v>
      </c>
      <c r="I59" s="824">
        <f>$B$59*Wskazniki!G42</f>
        <v>0.20659228028344681</v>
      </c>
      <c r="J59" s="824">
        <f>$B$59*Wskazniki!H42</f>
        <v>4.7969410988538352E-2</v>
      </c>
      <c r="L59" s="814" t="s">
        <v>587</v>
      </c>
      <c r="M59" s="825">
        <f t="shared" si="25"/>
        <v>2951.3182897635261</v>
      </c>
      <c r="N59" s="828">
        <f t="shared" si="27"/>
        <v>0.04</v>
      </c>
      <c r="O59" s="827">
        <f>'2022 Emisja opti'!O59</f>
        <v>0.04</v>
      </c>
      <c r="Q59" s="894">
        <f t="shared" si="26"/>
        <v>2951.3182897635261</v>
      </c>
      <c r="R59" s="895" t="s">
        <v>338</v>
      </c>
      <c r="S59" s="896">
        <f t="shared" si="23"/>
        <v>0</v>
      </c>
      <c r="T59" s="1136"/>
      <c r="U59" s="897">
        <f>$B$59*Wskazniki!AA42</f>
        <v>0</v>
      </c>
      <c r="V59" s="897">
        <f>$B$59*Wskazniki!AB42</f>
        <v>0</v>
      </c>
      <c r="W59" s="897">
        <f>$B$59*Wskazniki!AC42</f>
        <v>0</v>
      </c>
      <c r="X59" s="897">
        <f>$B$59*Wskazniki!AD42</f>
        <v>0</v>
      </c>
      <c r="Y59" s="897">
        <f>$B$59*Wskazniki!AE42</f>
        <v>0</v>
      </c>
      <c r="Z59" s="897">
        <f>$B$59*Wskazniki!AF42</f>
        <v>0</v>
      </c>
      <c r="AA59" s="897">
        <f>$B$59*Wskazniki!AG42</f>
        <v>0</v>
      </c>
    </row>
    <row r="60" spans="1:27" ht="15" customHeight="1">
      <c r="A60" s="814" t="s">
        <v>531</v>
      </c>
      <c r="B60" s="823">
        <f t="shared" si="24"/>
        <v>737.82957244088152</v>
      </c>
      <c r="C60" s="1115"/>
      <c r="D60" s="824">
        <v>0</v>
      </c>
      <c r="E60" s="824">
        <v>0</v>
      </c>
      <c r="F60" s="824">
        <f>(C54*Wskazniki!D43)+(B60+M60)*Wskazniki!D43</f>
        <v>17011.674039477955</v>
      </c>
      <c r="G60" s="824">
        <v>0</v>
      </c>
      <c r="H60" s="824">
        <v>0</v>
      </c>
      <c r="I60" s="824">
        <v>0</v>
      </c>
      <c r="J60" s="824">
        <v>0</v>
      </c>
      <c r="L60" s="814" t="s">
        <v>531</v>
      </c>
      <c r="M60" s="825">
        <f t="shared" si="25"/>
        <v>737.82957244088152</v>
      </c>
      <c r="N60" s="828">
        <f t="shared" si="27"/>
        <v>0.01</v>
      </c>
      <c r="O60" s="827">
        <f>'2022 Emisja opti'!O60</f>
        <v>0.01</v>
      </c>
      <c r="Q60" s="894">
        <f t="shared" si="26"/>
        <v>737.82957244088152</v>
      </c>
      <c r="R60" s="895" t="s">
        <v>531</v>
      </c>
      <c r="S60" s="896">
        <f t="shared" si="23"/>
        <v>0</v>
      </c>
      <c r="T60" s="1136"/>
      <c r="U60" s="897">
        <v>0</v>
      </c>
      <c r="V60" s="897">
        <v>0</v>
      </c>
      <c r="W60" s="897">
        <f>(T54*Wskazniki!AC59)</f>
        <v>0</v>
      </c>
      <c r="X60" s="897">
        <v>0</v>
      </c>
      <c r="Y60" s="897">
        <v>0</v>
      </c>
      <c r="Z60" s="897">
        <v>0</v>
      </c>
      <c r="AA60" s="897">
        <v>0</v>
      </c>
    </row>
    <row r="61" spans="1:27">
      <c r="A61" s="831" t="s">
        <v>588</v>
      </c>
      <c r="B61" s="823">
        <f t="shared" si="24"/>
        <v>295.13182897635261</v>
      </c>
      <c r="C61" s="1115"/>
      <c r="D61" s="824"/>
      <c r="E61" s="824"/>
      <c r="F61" s="824"/>
      <c r="G61" s="824"/>
      <c r="H61" s="824"/>
      <c r="I61" s="824"/>
      <c r="J61" s="824"/>
      <c r="L61" s="814" t="s">
        <v>482</v>
      </c>
      <c r="M61" s="825">
        <f t="shared" si="25"/>
        <v>295.13182897635261</v>
      </c>
      <c r="N61" s="828">
        <f t="shared" si="27"/>
        <v>4.0000000000000001E-3</v>
      </c>
      <c r="O61" s="827">
        <f>'2022 Emisja opti'!O61</f>
        <v>4.0000000000000001E-3</v>
      </c>
      <c r="Q61" s="894">
        <f t="shared" si="26"/>
        <v>295.13182897635261</v>
      </c>
      <c r="R61" s="898" t="s">
        <v>588</v>
      </c>
      <c r="S61" s="896">
        <f t="shared" si="23"/>
        <v>0</v>
      </c>
      <c r="T61" s="1136"/>
      <c r="U61" s="897"/>
      <c r="V61" s="897"/>
      <c r="W61" s="897"/>
      <c r="X61" s="897"/>
      <c r="Y61" s="897"/>
      <c r="Z61" s="897"/>
      <c r="AA61" s="897"/>
    </row>
    <row r="62" spans="1:27">
      <c r="A62" s="831" t="str">
        <f>L62</f>
        <v>OŹE (pompy ciepła)</v>
      </c>
      <c r="B62" s="823">
        <f t="shared" si="24"/>
        <v>0</v>
      </c>
      <c r="C62" s="1116"/>
      <c r="D62" s="824"/>
      <c r="E62" s="824"/>
      <c r="F62" s="824"/>
      <c r="G62" s="824"/>
      <c r="H62" s="824"/>
      <c r="I62" s="824"/>
      <c r="J62" s="824"/>
      <c r="L62" s="814" t="s">
        <v>589</v>
      </c>
      <c r="M62" s="825">
        <f t="shared" si="25"/>
        <v>0</v>
      </c>
      <c r="N62" s="828">
        <f t="shared" si="27"/>
        <v>0</v>
      </c>
      <c r="O62" s="827">
        <f>'2022 Emisja opti'!O62</f>
        <v>0</v>
      </c>
      <c r="Q62" s="894">
        <f t="shared" si="26"/>
        <v>0</v>
      </c>
      <c r="R62" s="898" t="str">
        <f>R46</f>
        <v>pompy ciepła</v>
      </c>
      <c r="S62" s="896">
        <f t="shared" si="23"/>
        <v>0</v>
      </c>
      <c r="T62" s="1137"/>
      <c r="U62" s="897"/>
      <c r="V62" s="897"/>
      <c r="W62" s="897"/>
      <c r="X62" s="897"/>
      <c r="Y62" s="897"/>
      <c r="Z62" s="897"/>
      <c r="AA62" s="897"/>
    </row>
    <row r="63" spans="1:27">
      <c r="A63" s="832" t="s">
        <v>590</v>
      </c>
      <c r="B63" s="833">
        <f>SUM(B54:B62)</f>
        <v>73782.957244088146</v>
      </c>
      <c r="C63" s="834">
        <f>C54</f>
        <v>19474.678342160056</v>
      </c>
      <c r="D63" s="835">
        <f>SUM(D54:D62)</f>
        <v>16.593418169409205</v>
      </c>
      <c r="E63" s="835">
        <f t="shared" ref="E63:J63" si="28">SUM(E54:E62)</f>
        <v>15.207774232365228</v>
      </c>
      <c r="F63" s="835">
        <f t="shared" si="28"/>
        <v>22657.368848698192</v>
      </c>
      <c r="G63" s="836">
        <f t="shared" si="28"/>
        <v>1.5697029021850776E-2</v>
      </c>
      <c r="H63" s="835">
        <f t="shared" si="28"/>
        <v>48.994170881749099</v>
      </c>
      <c r="I63" s="835">
        <f t="shared" si="28"/>
        <v>9.7924740854353782</v>
      </c>
      <c r="J63" s="835">
        <f t="shared" si="28"/>
        <v>110.11472718551215</v>
      </c>
      <c r="L63" s="829"/>
      <c r="M63" s="825">
        <f t="shared" si="25"/>
        <v>0</v>
      </c>
      <c r="N63" s="829"/>
      <c r="O63" s="829"/>
      <c r="Q63" s="894">
        <f>SUM(Q54:Q62)</f>
        <v>73782.957244088146</v>
      </c>
      <c r="R63" s="899" t="s">
        <v>590</v>
      </c>
      <c r="S63" s="900">
        <f>SUM(S54:S62)</f>
        <v>0</v>
      </c>
      <c r="T63" s="901">
        <f>T54</f>
        <v>0</v>
      </c>
      <c r="U63" s="902">
        <f>U54+U57+U58</f>
        <v>0</v>
      </c>
      <c r="V63" s="902">
        <f t="shared" ref="V63:AA63" si="29">V54+V57+V58</f>
        <v>0</v>
      </c>
      <c r="W63" s="902">
        <f t="shared" si="29"/>
        <v>0</v>
      </c>
      <c r="X63" s="902">
        <f t="shared" si="29"/>
        <v>0</v>
      </c>
      <c r="Y63" s="902">
        <f t="shared" si="29"/>
        <v>0</v>
      </c>
      <c r="Z63" s="902">
        <f t="shared" si="29"/>
        <v>0</v>
      </c>
      <c r="AA63" s="902">
        <f t="shared" si="29"/>
        <v>0</v>
      </c>
    </row>
    <row r="64" spans="1:27">
      <c r="B64" s="837"/>
      <c r="D64" s="838">
        <f>D63</f>
        <v>16.593418169409205</v>
      </c>
      <c r="E64" s="838">
        <f>E63</f>
        <v>15.207774232365228</v>
      </c>
      <c r="F64" s="815">
        <f>F63/100</f>
        <v>226.57368848698192</v>
      </c>
      <c r="G64" s="838">
        <f>G63</f>
        <v>1.5697029021850776E-2</v>
      </c>
      <c r="H64" s="838">
        <f>H63</f>
        <v>48.994170881749099</v>
      </c>
      <c r="I64" s="838">
        <f>I63</f>
        <v>9.7924740854353782</v>
      </c>
      <c r="J64" s="838">
        <f>J63</f>
        <v>110.11472718551215</v>
      </c>
      <c r="L64" s="829" t="s">
        <v>297</v>
      </c>
      <c r="M64" s="839">
        <f>ZANIECH!R17</f>
        <v>73782.957244088146</v>
      </c>
      <c r="N64" s="840">
        <f>SUM(N54:N63)</f>
        <v>1</v>
      </c>
      <c r="O64" s="841">
        <f>SUM(O54:O63)</f>
        <v>1</v>
      </c>
      <c r="S64" s="903"/>
      <c r="U64" s="904">
        <f>U63+U47+U31+U15</f>
        <v>0</v>
      </c>
      <c r="V64" s="904">
        <f t="shared" ref="V64:AA64" si="30">V63+V47+V31+V15</f>
        <v>0</v>
      </c>
      <c r="W64" s="904">
        <f t="shared" si="30"/>
        <v>0</v>
      </c>
      <c r="X64" s="904">
        <f t="shared" si="30"/>
        <v>0</v>
      </c>
      <c r="Y64" s="904">
        <f t="shared" si="30"/>
        <v>0</v>
      </c>
      <c r="Z64" s="904">
        <f t="shared" si="30"/>
        <v>0</v>
      </c>
      <c r="AA64" s="904">
        <f t="shared" si="30"/>
        <v>0</v>
      </c>
    </row>
    <row r="65" spans="1:15">
      <c r="A65" s="1124"/>
      <c r="B65" s="1124"/>
      <c r="C65" s="1124"/>
      <c r="D65" s="1124"/>
      <c r="E65" s="1124"/>
      <c r="F65" s="1124"/>
      <c r="G65" s="1124"/>
      <c r="H65" s="1124"/>
      <c r="I65" s="1124"/>
      <c r="J65" s="1124"/>
      <c r="K65" s="1124"/>
      <c r="L65" s="1124"/>
      <c r="M65" s="1124"/>
      <c r="N65" s="1124"/>
      <c r="O65" s="1124"/>
    </row>
    <row r="66" spans="1:15">
      <c r="D66" s="975">
        <f>D63+D47+D31+D15</f>
        <v>77.812943005669538</v>
      </c>
      <c r="E66" s="975">
        <f t="shared" ref="E66:J66" si="31">E63+E47+E31+E15</f>
        <v>71.216343651415045</v>
      </c>
      <c r="F66" s="975">
        <f>F63+F47+F31+F15</f>
        <v>50964.911646615154</v>
      </c>
      <c r="G66" s="975">
        <f t="shared" si="31"/>
        <v>7.4729333161217104E-2</v>
      </c>
      <c r="H66" s="975">
        <f t="shared" si="31"/>
        <v>234.74849161708616</v>
      </c>
      <c r="I66" s="975">
        <f t="shared" si="31"/>
        <v>46.823917819631589</v>
      </c>
      <c r="J66" s="975">
        <f t="shared" si="31"/>
        <v>526.30569428303477</v>
      </c>
      <c r="M66" s="963">
        <f>M64+M48+M32+M16</f>
        <v>357665.83655396756</v>
      </c>
      <c r="O66" s="964">
        <f>ZANIECH!D91</f>
        <v>357665.83655396762</v>
      </c>
    </row>
    <row r="67" spans="1:15" ht="15">
      <c r="A67" s="1117" t="s">
        <v>603</v>
      </c>
      <c r="B67" s="1117"/>
      <c r="C67" s="1117"/>
      <c r="D67" s="1117"/>
      <c r="E67" s="1117"/>
      <c r="F67" s="1117"/>
      <c r="G67" s="1117"/>
      <c r="H67" s="1117"/>
      <c r="I67" s="1117"/>
      <c r="J67" s="1117"/>
      <c r="M67" s="907">
        <f>M66-O66</f>
        <v>0</v>
      </c>
    </row>
    <row r="68" spans="1:15" ht="14.25">
      <c r="A68" s="829"/>
      <c r="B68" s="848" t="s">
        <v>479</v>
      </c>
      <c r="C68" s="848" t="s">
        <v>604</v>
      </c>
      <c r="D68" s="866" t="s">
        <v>624</v>
      </c>
      <c r="E68" s="867" t="s">
        <v>623</v>
      </c>
    </row>
    <row r="69" spans="1:15" ht="14.25">
      <c r="A69" s="829" t="s">
        <v>426</v>
      </c>
      <c r="B69" s="853">
        <f>N6</f>
        <v>-2.2551405187698492E-17</v>
      </c>
      <c r="C69" s="853">
        <f>(N9+N10)</f>
        <v>0</v>
      </c>
      <c r="D69" s="931">
        <v>0</v>
      </c>
      <c r="E69" s="932">
        <f>OPTI!B49</f>
        <v>0.8661581589412608</v>
      </c>
    </row>
    <row r="70" spans="1:15" ht="14.25">
      <c r="A70" s="829" t="s">
        <v>50</v>
      </c>
      <c r="B70" s="853">
        <f>N22</f>
        <v>0.76</v>
      </c>
      <c r="C70" s="853">
        <f>(N25+N26)</f>
        <v>0.12014629308671164</v>
      </c>
      <c r="D70" s="931">
        <v>0</v>
      </c>
      <c r="E70" s="932">
        <f>OPTI!B31</f>
        <v>0.24980999999999998</v>
      </c>
    </row>
    <row r="71" spans="1:15" ht="14.25">
      <c r="A71" s="829" t="s">
        <v>29</v>
      </c>
      <c r="B71" s="853">
        <f>N38</f>
        <v>0.23307201929703647</v>
      </c>
      <c r="C71" s="853">
        <f>(N41+N42)</f>
        <v>0</v>
      </c>
      <c r="D71" s="931">
        <v>0</v>
      </c>
      <c r="E71" s="932">
        <f>OPTI!B37</f>
        <v>0.35694853145300098</v>
      </c>
    </row>
    <row r="72" spans="1:15" ht="14.25">
      <c r="A72" s="829" t="s">
        <v>412</v>
      </c>
      <c r="B72" s="853">
        <f>N54</f>
        <v>0.73</v>
      </c>
      <c r="C72" s="853">
        <f>(N57+N58)</f>
        <v>0.126</v>
      </c>
      <c r="D72" s="931">
        <v>0</v>
      </c>
      <c r="E72" s="932">
        <f>OPTI!B43</f>
        <v>0.28515000000000007</v>
      </c>
    </row>
    <row r="74" spans="1:15" ht="12.75">
      <c r="A74" s="829" t="s">
        <v>426</v>
      </c>
      <c r="B74" s="498">
        <f>B84*(1-(B69*((1-B81)+E69*(1-B81)))-C69*((1-B82)+E69*(1-B82)))</f>
        <v>1.1261796843144408E-2</v>
      </c>
      <c r="C74" s="498">
        <f>C84*(1-(B69*((1-C81)+E69*(1-C81)))-C69*((1-C82)+E69*(1-C82)))</f>
        <v>1.1261796843144413E-2</v>
      </c>
      <c r="D74" s="869">
        <f>D84</f>
        <v>651.0122226505971</v>
      </c>
      <c r="E74" s="498">
        <f>E84*(1-(B69*((1-E81)+E69*(1-E81)))-C69*((1-E82)+E69*(1-E82)))</f>
        <v>3.4105671695817307E-5</v>
      </c>
      <c r="F74" s="498">
        <f>F84*(1-(B69*((1-F81)+E69*(1-F81)))-C69*((1-F82)+E69*(1-F82)))</f>
        <v>0.47850949907584206</v>
      </c>
      <c r="G74" s="498">
        <f>G84*(1-(B69*((1-G81)+E69*(1-G81)))-C69*((1-G82)+E69*(1-G82)))</f>
        <v>0.34174923531064605</v>
      </c>
      <c r="H74" s="498">
        <f>H84*(1-(B69*((1-H81)+E69*(1-H81)))-C69*((1-H82)+E69*(1-H82)))</f>
        <v>7.0885267440141855E-2</v>
      </c>
    </row>
    <row r="75" spans="1:15" ht="12.75">
      <c r="A75" s="829" t="s">
        <v>50</v>
      </c>
      <c r="B75" s="498">
        <f>B85*(1-(B70*((1-B81)+E70*(1-B81)))-C70*((1-B82)+E70*(1-B82)))</f>
        <v>14.564613342230803</v>
      </c>
      <c r="C75" s="498">
        <f>C85*(1-(B70*((1-C81)+E70*(1-C81)))-C70*((1-C82)+E70*(1-C82)))</f>
        <v>13.405994822222596</v>
      </c>
      <c r="D75" s="869">
        <f>D85</f>
        <v>27184.923672799312</v>
      </c>
      <c r="E75" s="498">
        <f>E85*(1-(B70*((1-E81)+E70*(1-E81)))-C70*((1-E82)+E70*(1-E82)))</f>
        <v>-5.0995126259828095E-3</v>
      </c>
      <c r="F75" s="498">
        <f>F85*(1-(B70*((1-F81)+E70*(1-F81)))-C70*((1-F82)+E70*(1-F82)))</f>
        <v>96.180023386809808</v>
      </c>
      <c r="G75" s="498">
        <f>G85*(1-(B70*((1-G81)+E70*(1-G81)))-C70*((1-G82)+E70*(1-G82)))</f>
        <v>38.558273735458513</v>
      </c>
      <c r="H75" s="498">
        <f>H85*(1-(B70*((1-H81)+E70*(1-H81)))-C70*((1-H82)+E70*(1-H82)))</f>
        <v>185.25094347246048</v>
      </c>
    </row>
    <row r="76" spans="1:15" ht="12.75">
      <c r="A76" s="829" t="s">
        <v>29</v>
      </c>
      <c r="B76" s="498">
        <f>B86*(1-(B71*((1-B81)+E71*(1-B81)))-C71*((1-B82)+E71*(1-B82)))</f>
        <v>0.3951653062589861</v>
      </c>
      <c r="C76" s="498">
        <f>C86*(1-(B71*((1-C81)+E71*(1-C81)))-C71*((1-C82)+E71*(1-C82)))</f>
        <v>0.35345396687243374</v>
      </c>
      <c r="D76" s="869">
        <f>D86</f>
        <v>471.60690246705508</v>
      </c>
      <c r="E76" s="498">
        <f>E86*(1-(B71*((1-E81)+E71*(1-E81)))-C71*((1-E82)+E71*(1-E82)))</f>
        <v>4.1243645899285535E-4</v>
      </c>
      <c r="F76" s="498">
        <f>F86*(1-(B71*((1-F81)+E71*(1-F81)))-C71*((1-F82)+E71*(1-F82)))</f>
        <v>1.7687260951089554</v>
      </c>
      <c r="G76" s="498">
        <f>G86*(1-(B71*((1-G81)+E71*(1-G81)))-C71*((1-G82)+E71*(1-G82)))</f>
        <v>0.41308993358530505</v>
      </c>
      <c r="H76" s="498">
        <f>H86*(1-(B71*((1-H81)+E71*(1-H81)))-C71*((1-H82)+E71*(1-H82)))</f>
        <v>3.7413943950906727</v>
      </c>
    </row>
    <row r="77" spans="1:15" ht="12.75">
      <c r="A77" s="829" t="s">
        <v>412</v>
      </c>
      <c r="B77" s="498">
        <f>B87*(1-(B72*((1-B81)+E72*(1-B81)))-C72*((1-B82)+E72*(1-B82)))</f>
        <v>3.9261718327272872</v>
      </c>
      <c r="C77" s="498">
        <f>C87*(1-(B72*((1-C81)+E72*(1-C81)))-C72*((1-C82)+E72*(1-C82)))</f>
        <v>3.6195002991737613</v>
      </c>
      <c r="D77" s="869">
        <f>D87</f>
        <v>22657.368848698192</v>
      </c>
      <c r="E77" s="498">
        <f>E87*(1-(B72*((1-E81)+E72*(1-E81)))-C72*((1-E82)+E72*(1-E82)))</f>
        <v>-1.3567153741961505E-3</v>
      </c>
      <c r="F77" s="498">
        <f>F87*(1-(B72*((1-F81)+E72*(1-F81)))-C72*((1-F82)+E72*(1-F82)))</f>
        <v>26.011997453080951</v>
      </c>
      <c r="G77" s="498">
        <f>G87*(1-(B72*((1-G81)+E72*(1-G81)))-C72*((1-G82)+E72*(1-G82)))</f>
        <v>10.417520383800287</v>
      </c>
      <c r="H77" s="498">
        <f>H87*(1-(B72*((1-H81)+E72*(1-H81)))-C72*((1-H82)+E72*(1-H82)))</f>
        <v>49.546760162538867</v>
      </c>
    </row>
    <row r="78" spans="1:15" ht="12.75">
      <c r="A78" s="829" t="s">
        <v>220</v>
      </c>
      <c r="B78" s="829">
        <f>SUM(B74:B77)</f>
        <v>18.89721227806022</v>
      </c>
      <c r="C78" s="829">
        <f t="shared" ref="C78:H78" si="32">SUM(C74:C77)</f>
        <v>17.390210885111934</v>
      </c>
      <c r="D78" s="869">
        <f t="shared" si="32"/>
        <v>50964.911646615154</v>
      </c>
      <c r="E78" s="829">
        <f t="shared" si="32"/>
        <v>-6.0096858694902869E-3</v>
      </c>
      <c r="F78" s="829">
        <f t="shared" si="32"/>
        <v>124.43925643407556</v>
      </c>
      <c r="G78" s="829">
        <f t="shared" si="32"/>
        <v>49.730633288154749</v>
      </c>
      <c r="H78" s="829">
        <f t="shared" si="32"/>
        <v>238.60998329753016</v>
      </c>
    </row>
    <row r="80" spans="1:15" ht="14.25">
      <c r="B80" s="855" t="s">
        <v>560</v>
      </c>
      <c r="C80" s="855" t="s">
        <v>561</v>
      </c>
      <c r="D80" s="855" t="s">
        <v>599</v>
      </c>
      <c r="E80" s="855" t="s">
        <v>600</v>
      </c>
      <c r="F80" s="855" t="s">
        <v>601</v>
      </c>
      <c r="G80" s="855" t="s">
        <v>602</v>
      </c>
      <c r="H80" s="856" t="s">
        <v>363</v>
      </c>
    </row>
    <row r="81" spans="1:8" ht="15">
      <c r="A81" s="815" t="s">
        <v>342</v>
      </c>
      <c r="B81" s="857">
        <f>Wskazniki!D50/Wskazniki!C50</f>
        <v>0.34666666666666668</v>
      </c>
      <c r="C81" s="858">
        <f>Wskazniki!D51/Wskazniki!C51</f>
        <v>0.34825870646766172</v>
      </c>
      <c r="D81" s="857">
        <f>Wskazniki!D52/Wskazniki!C52</f>
        <v>1</v>
      </c>
      <c r="E81" s="857">
        <f>Wskazniki!D53/Wskazniki!C53</f>
        <v>2.9259259259259261E-4</v>
      </c>
      <c r="F81" s="857">
        <f>Wskazniki!D54/Wskazniki!C54</f>
        <v>0.5</v>
      </c>
      <c r="G81" s="857">
        <f>Wskazniki!D55/Wskazniki!C55</f>
        <v>1.0443037974683544</v>
      </c>
      <c r="H81" s="859">
        <v>0.5</v>
      </c>
    </row>
    <row r="82" spans="1:8" ht="14.25">
      <c r="A82" s="815" t="s">
        <v>335</v>
      </c>
      <c r="B82" s="857">
        <f>Wskazniki!H50/Wskazniki!G50</f>
        <v>7.0833333333333331E-2</v>
      </c>
      <c r="C82" s="857">
        <f>Wskazniki!H51/Wskazniki!G51</f>
        <v>7.0212765957446813E-2</v>
      </c>
      <c r="D82" s="857">
        <v>1</v>
      </c>
      <c r="E82" s="857">
        <f>Wskazniki!H53/Wskazniki!G53</f>
        <v>8.2644628099173556E-2</v>
      </c>
      <c r="F82" s="857">
        <f>Wskazniki!H54/Wskazniki!G54</f>
        <v>1</v>
      </c>
      <c r="G82" s="857">
        <f>Wskazniki!H55/Wskazniki!G55</f>
        <v>1.1375</v>
      </c>
      <c r="H82" s="859">
        <v>0.5</v>
      </c>
    </row>
    <row r="84" spans="1:8">
      <c r="A84" s="829" t="s">
        <v>426</v>
      </c>
      <c r="B84" s="868">
        <f t="shared" ref="B84:H84" si="33">D15</f>
        <v>1.1261796843144408E-2</v>
      </c>
      <c r="C84" s="868">
        <f t="shared" si="33"/>
        <v>1.1261796843144413E-2</v>
      </c>
      <c r="D84" s="868">
        <f t="shared" si="33"/>
        <v>651.0122226505971</v>
      </c>
      <c r="E84" s="868">
        <f t="shared" si="33"/>
        <v>3.4105671695817307E-5</v>
      </c>
      <c r="F84" s="868">
        <f t="shared" si="33"/>
        <v>0.47850949907584206</v>
      </c>
      <c r="G84" s="868">
        <f t="shared" si="33"/>
        <v>0.34174923531064605</v>
      </c>
      <c r="H84" s="868">
        <f t="shared" si="33"/>
        <v>7.0885267440141855E-2</v>
      </c>
    </row>
    <row r="85" spans="1:8">
      <c r="A85" s="829" t="s">
        <v>50</v>
      </c>
      <c r="B85" s="868">
        <f t="shared" ref="B85:H85" si="34">D31</f>
        <v>60.710180038126268</v>
      </c>
      <c r="C85" s="868">
        <f t="shared" si="34"/>
        <v>55.552081910415595</v>
      </c>
      <c r="D85" s="868">
        <f t="shared" si="34"/>
        <v>27184.923672799312</v>
      </c>
      <c r="E85" s="868">
        <f t="shared" si="34"/>
        <v>5.8395067586697658E-2</v>
      </c>
      <c r="F85" s="868">
        <f t="shared" si="34"/>
        <v>183.17485364262251</v>
      </c>
      <c r="G85" s="868">
        <f t="shared" si="34"/>
        <v>36.282312724314323</v>
      </c>
      <c r="H85" s="868">
        <f t="shared" si="34"/>
        <v>411.67591662728501</v>
      </c>
    </row>
    <row r="86" spans="1:8">
      <c r="A86" s="829" t="s">
        <v>29</v>
      </c>
      <c r="B86" s="868">
        <f t="shared" ref="B86:H86" si="35">D47</f>
        <v>0.4980830012909237</v>
      </c>
      <c r="C86" s="868">
        <f t="shared" si="35"/>
        <v>0.44522571179107939</v>
      </c>
      <c r="D86" s="868">
        <f t="shared" si="35"/>
        <v>471.60690246705508</v>
      </c>
      <c r="E86" s="868">
        <f t="shared" si="35"/>
        <v>6.0313088097285891E-4</v>
      </c>
      <c r="F86" s="868">
        <f t="shared" si="35"/>
        <v>2.1009575936387028</v>
      </c>
      <c r="G86" s="868">
        <f t="shared" si="35"/>
        <v>0.40738177457124536</v>
      </c>
      <c r="H86" s="868">
        <f t="shared" si="35"/>
        <v>4.4441652027974481</v>
      </c>
    </row>
    <row r="87" spans="1:8">
      <c r="A87" s="829" t="s">
        <v>412</v>
      </c>
      <c r="B87" s="868">
        <f t="shared" ref="B87:H87" si="36">D63</f>
        <v>16.593418169409205</v>
      </c>
      <c r="C87" s="868">
        <f t="shared" si="36"/>
        <v>15.207774232365228</v>
      </c>
      <c r="D87" s="868">
        <f t="shared" si="36"/>
        <v>22657.368848698192</v>
      </c>
      <c r="E87" s="868">
        <f t="shared" si="36"/>
        <v>1.5697029021850776E-2</v>
      </c>
      <c r="F87" s="868">
        <f t="shared" si="36"/>
        <v>48.994170881749099</v>
      </c>
      <c r="G87" s="868">
        <f t="shared" si="36"/>
        <v>9.7924740854353782</v>
      </c>
      <c r="H87" s="868">
        <f t="shared" si="36"/>
        <v>110.11472718551215</v>
      </c>
    </row>
  </sheetData>
  <mergeCells count="67">
    <mergeCell ref="A1:O1"/>
    <mergeCell ref="R1:AA1"/>
    <mergeCell ref="A2:J2"/>
    <mergeCell ref="R2:AA2"/>
    <mergeCell ref="A3:C3"/>
    <mergeCell ref="D3:J4"/>
    <mergeCell ref="R3:T3"/>
    <mergeCell ref="U3:AA4"/>
    <mergeCell ref="A4:A5"/>
    <mergeCell ref="B4:B5"/>
    <mergeCell ref="C4:C5"/>
    <mergeCell ref="L4:N4"/>
    <mergeCell ref="R4:R5"/>
    <mergeCell ref="S4:S5"/>
    <mergeCell ref="T4:T5"/>
    <mergeCell ref="L20:N20"/>
    <mergeCell ref="R20:R21"/>
    <mergeCell ref="S20:S21"/>
    <mergeCell ref="T20:T21"/>
    <mergeCell ref="T6:T14"/>
    <mergeCell ref="C6:C14"/>
    <mergeCell ref="C22:C30"/>
    <mergeCell ref="T22:T30"/>
    <mergeCell ref="A33:O33"/>
    <mergeCell ref="A34:J34"/>
    <mergeCell ref="R34:AA34"/>
    <mergeCell ref="A17:O17"/>
    <mergeCell ref="A18:J18"/>
    <mergeCell ref="R18:AA18"/>
    <mergeCell ref="A19:C19"/>
    <mergeCell ref="D19:J20"/>
    <mergeCell ref="R19:T19"/>
    <mergeCell ref="U19:AA20"/>
    <mergeCell ref="A20:A21"/>
    <mergeCell ref="B20:B21"/>
    <mergeCell ref="C20:C21"/>
    <mergeCell ref="A35:C35"/>
    <mergeCell ref="D35:J36"/>
    <mergeCell ref="R35:T35"/>
    <mergeCell ref="U35:AA36"/>
    <mergeCell ref="A36:A37"/>
    <mergeCell ref="B36:B37"/>
    <mergeCell ref="C36:C37"/>
    <mergeCell ref="L36:N36"/>
    <mergeCell ref="R36:R37"/>
    <mergeCell ref="S36:S37"/>
    <mergeCell ref="T36:T37"/>
    <mergeCell ref="C38:C46"/>
    <mergeCell ref="T38:T46"/>
    <mergeCell ref="T52:T53"/>
    <mergeCell ref="C54:C62"/>
    <mergeCell ref="T54:T62"/>
    <mergeCell ref="A49:O49"/>
    <mergeCell ref="A50:J50"/>
    <mergeCell ref="R50:AA50"/>
    <mergeCell ref="A51:C51"/>
    <mergeCell ref="D51:J52"/>
    <mergeCell ref="R51:T51"/>
    <mergeCell ref="U51:AA52"/>
    <mergeCell ref="A52:A53"/>
    <mergeCell ref="B52:B53"/>
    <mergeCell ref="C52:C53"/>
    <mergeCell ref="A65:O65"/>
    <mergeCell ref="A67:J67"/>
    <mergeCell ref="L52:N52"/>
    <mergeCell ref="R52:R53"/>
    <mergeCell ref="S52:S53"/>
  </mergeCells>
  <pageMargins left="0.7" right="0.7" top="0.75" bottom="0.75" header="0.3" footer="0.3"/>
  <pageSetup paperSize="9" scale="7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BA1E143-17C1-44A3-A13B-8D9E7CD1A4A4}">
          <x14:formula1>
            <xm:f>Wskazniki!$A$4:$A$10</xm:f>
          </x14:formula1>
          <xm:sqref>A6:A12 A22:A28 A38:A44 A54:A60 R6:R12 R54:R60 R22:R30 R38:R44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C8CCC-C0BC-45A9-B944-09A19DAD0C9A}">
  <sheetPr>
    <tabColor theme="9" tint="-0.249977111117893"/>
  </sheetPr>
  <dimension ref="A1:AJ87"/>
  <sheetViews>
    <sheetView tabSelected="1" topLeftCell="H1" zoomScale="85" zoomScaleNormal="85" zoomScaleSheetLayoutView="85" workbookViewId="0">
      <pane ySplit="1" topLeftCell="A17" activePane="bottomLeft" state="frozen"/>
      <selection pane="bottomLeft" activeCell="S5" sqref="S5"/>
    </sheetView>
  </sheetViews>
  <sheetFormatPr defaultColWidth="10.28515625" defaultRowHeight="12"/>
  <cols>
    <col min="1" max="1" width="18.7109375" style="815" customWidth="1"/>
    <col min="2" max="2" width="11.7109375" style="815" customWidth="1"/>
    <col min="3" max="3" width="14.85546875" style="815" customWidth="1"/>
    <col min="4" max="4" width="11.5703125" style="815" customWidth="1"/>
    <col min="5" max="5" width="8.5703125" style="815" bestFit="1" customWidth="1"/>
    <col min="6" max="6" width="12.28515625" style="815" bestFit="1" customWidth="1"/>
    <col min="7" max="7" width="12.42578125" style="815" bestFit="1" customWidth="1"/>
    <col min="8" max="8" width="12.28515625" style="815" bestFit="1" customWidth="1"/>
    <col min="9" max="9" width="7.5703125" style="815" bestFit="1" customWidth="1"/>
    <col min="10" max="10" width="10" style="815" bestFit="1" customWidth="1"/>
    <col min="11" max="11" width="2.28515625" style="815" customWidth="1"/>
    <col min="12" max="12" width="21.85546875" style="815" bestFit="1" customWidth="1"/>
    <col min="13" max="13" width="16.5703125" style="815" customWidth="1"/>
    <col min="14" max="15" width="13" style="815" customWidth="1"/>
    <col min="16" max="16" width="10.28515625" style="815"/>
    <col min="17" max="17" width="17.28515625" style="815" bestFit="1" customWidth="1"/>
    <col min="18" max="19" width="10.28515625" style="815"/>
    <col min="20" max="20" width="11" style="815" bestFit="1" customWidth="1"/>
    <col min="21" max="24" width="10.28515625" style="815"/>
    <col min="25" max="25" width="10.28515625" style="842"/>
    <col min="26" max="26" width="18.7109375" style="842" customWidth="1"/>
    <col min="27" max="27" width="11.7109375" style="842" customWidth="1"/>
    <col min="28" max="28" width="14.85546875" style="842" customWidth="1"/>
    <col min="29" max="29" width="11.5703125" style="842" customWidth="1"/>
    <col min="30" max="30" width="8.5703125" style="842" bestFit="1" customWidth="1"/>
    <col min="31" max="31" width="12.28515625" style="842" bestFit="1" customWidth="1"/>
    <col min="32" max="32" width="12.42578125" style="842" bestFit="1" customWidth="1"/>
    <col min="33" max="33" width="12.28515625" style="842" bestFit="1" customWidth="1"/>
    <col min="34" max="34" width="7.5703125" style="842" bestFit="1" customWidth="1"/>
    <col min="35" max="35" width="10" style="842" bestFit="1" customWidth="1"/>
    <col min="36" max="36" width="10.28515625" style="842"/>
    <col min="37" max="16384" width="10.28515625" style="815"/>
  </cols>
  <sheetData>
    <row r="1" spans="1:36" ht="21" customHeight="1">
      <c r="A1" s="1151" t="s">
        <v>642</v>
      </c>
      <c r="B1" s="1151"/>
      <c r="C1" s="1151"/>
      <c r="D1" s="1151"/>
      <c r="E1" s="1151"/>
      <c r="F1" s="1151"/>
      <c r="G1" s="1151"/>
      <c r="H1" s="1151"/>
      <c r="I1" s="1151"/>
      <c r="J1" s="1151"/>
      <c r="K1" s="1151"/>
      <c r="L1" s="1151"/>
      <c r="M1" s="1151"/>
      <c r="N1" s="1151"/>
      <c r="O1" s="1151"/>
      <c r="Z1" s="1152" t="s">
        <v>628</v>
      </c>
      <c r="AA1" s="1152"/>
      <c r="AB1" s="1152"/>
      <c r="AC1" s="1152"/>
      <c r="AD1" s="1152"/>
      <c r="AE1" s="1152"/>
      <c r="AF1" s="1152"/>
      <c r="AG1" s="1152"/>
      <c r="AH1" s="1152"/>
      <c r="AI1" s="1152"/>
    </row>
    <row r="2" spans="1:36" ht="15">
      <c r="A2" s="1117" t="s">
        <v>329</v>
      </c>
      <c r="B2" s="1117"/>
      <c r="C2" s="1117"/>
      <c r="D2" s="1117"/>
      <c r="E2" s="1117"/>
      <c r="F2" s="1117"/>
      <c r="G2" s="1117"/>
      <c r="H2" s="1117"/>
      <c r="I2" s="1117"/>
      <c r="J2" s="1117"/>
      <c r="Z2" s="1148" t="s">
        <v>329</v>
      </c>
      <c r="AA2" s="1148"/>
      <c r="AB2" s="1148"/>
      <c r="AC2" s="1148"/>
      <c r="AD2" s="1148"/>
      <c r="AE2" s="1148"/>
      <c r="AF2" s="1148"/>
      <c r="AG2" s="1148"/>
      <c r="AH2" s="1148"/>
      <c r="AI2" s="1148"/>
    </row>
    <row r="3" spans="1:36" ht="15">
      <c r="A3" s="1118" t="s">
        <v>582</v>
      </c>
      <c r="B3" s="1118"/>
      <c r="C3" s="1118"/>
      <c r="D3" s="1119" t="s">
        <v>629</v>
      </c>
      <c r="E3" s="1119"/>
      <c r="F3" s="1119"/>
      <c r="G3" s="1119"/>
      <c r="H3" s="1119"/>
      <c r="I3" s="1119"/>
      <c r="J3" s="1119"/>
      <c r="K3" s="842"/>
      <c r="Q3" s="847" t="s">
        <v>598</v>
      </c>
      <c r="Z3" s="1149" t="s">
        <v>582</v>
      </c>
      <c r="AA3" s="1149"/>
      <c r="AB3" s="1149"/>
      <c r="AC3" s="1150" t="s">
        <v>583</v>
      </c>
      <c r="AD3" s="1150"/>
      <c r="AE3" s="1150"/>
      <c r="AF3" s="1150"/>
      <c r="AG3" s="1150"/>
      <c r="AH3" s="1150"/>
      <c r="AI3" s="1150"/>
    </row>
    <row r="4" spans="1:36" s="816" customFormat="1" ht="46.5" customHeight="1">
      <c r="A4" s="1120" t="s">
        <v>516</v>
      </c>
      <c r="B4" s="1122" t="s">
        <v>591</v>
      </c>
      <c r="C4" s="1120" t="s">
        <v>594</v>
      </c>
      <c r="D4" s="1119"/>
      <c r="E4" s="1119"/>
      <c r="F4" s="1119"/>
      <c r="G4" s="1119"/>
      <c r="H4" s="1119"/>
      <c r="I4" s="1119"/>
      <c r="J4" s="1119"/>
      <c r="K4" s="843"/>
      <c r="L4" s="1125" t="s">
        <v>592</v>
      </c>
      <c r="M4" s="1125"/>
      <c r="N4" s="1125"/>
      <c r="O4" s="817" t="s">
        <v>593</v>
      </c>
      <c r="P4" s="818"/>
      <c r="Q4" s="821"/>
      <c r="R4" s="821">
        <v>2017</v>
      </c>
      <c r="S4" s="821">
        <v>2021</v>
      </c>
      <c r="T4" s="821">
        <v>2033</v>
      </c>
      <c r="Y4" s="843"/>
      <c r="Z4" s="1142" t="s">
        <v>516</v>
      </c>
      <c r="AA4" s="1144" t="s">
        <v>591</v>
      </c>
      <c r="AB4" s="1142" t="s">
        <v>594</v>
      </c>
      <c r="AC4" s="1150"/>
      <c r="AD4" s="1150"/>
      <c r="AE4" s="1150"/>
      <c r="AF4" s="1150"/>
      <c r="AG4" s="1150"/>
      <c r="AH4" s="1150"/>
      <c r="AI4" s="1150"/>
      <c r="AJ4" s="843"/>
    </row>
    <row r="5" spans="1:36" s="816" customFormat="1" ht="14.25" customHeight="1">
      <c r="A5" s="1121"/>
      <c r="B5" s="1122"/>
      <c r="C5" s="1121"/>
      <c r="D5" s="819" t="s">
        <v>560</v>
      </c>
      <c r="E5" s="819" t="s">
        <v>561</v>
      </c>
      <c r="F5" s="819" t="s">
        <v>584</v>
      </c>
      <c r="G5" s="819" t="s">
        <v>461</v>
      </c>
      <c r="H5" s="819" t="s">
        <v>569</v>
      </c>
      <c r="I5" s="820" t="s">
        <v>571</v>
      </c>
      <c r="J5" s="819" t="s">
        <v>363</v>
      </c>
      <c r="K5" s="843"/>
      <c r="L5" s="822" t="s">
        <v>585</v>
      </c>
      <c r="M5" s="822" t="s">
        <v>586</v>
      </c>
      <c r="N5" s="822">
        <v>2030</v>
      </c>
      <c r="O5" s="821">
        <v>2016</v>
      </c>
      <c r="Q5" s="844" t="str">
        <f>A6</f>
        <v>węgiel</v>
      </c>
      <c r="R5" s="961">
        <f>'2032 Emisja opti'!R5</f>
        <v>250.60350256551058</v>
      </c>
      <c r="S5" s="825">
        <f>('2022 Emisja zaniech'!B6+'2022 Emisja zaniech'!B22+'2022 Emisja zaniech'!B38+'2022 Emisja zaniech'!B54)/1000</f>
        <v>257.70281382064451</v>
      </c>
      <c r="T5" s="825">
        <f>(B6+B22+B38+B54)/1000</f>
        <v>274.44639513926779</v>
      </c>
      <c r="Y5" s="843" t="s">
        <v>634</v>
      </c>
      <c r="Z5" s="1143"/>
      <c r="AA5" s="1144"/>
      <c r="AB5" s="1143"/>
      <c r="AC5" s="918" t="s">
        <v>560</v>
      </c>
      <c r="AD5" s="918" t="s">
        <v>561</v>
      </c>
      <c r="AE5" s="918" t="s">
        <v>584</v>
      </c>
      <c r="AF5" s="918" t="s">
        <v>461</v>
      </c>
      <c r="AG5" s="918" t="s">
        <v>569</v>
      </c>
      <c r="AH5" s="919" t="s">
        <v>571</v>
      </c>
      <c r="AI5" s="918" t="s">
        <v>363</v>
      </c>
      <c r="AJ5" s="843"/>
    </row>
    <row r="6" spans="1:36" ht="15" customHeight="1">
      <c r="A6" s="814" t="s">
        <v>479</v>
      </c>
      <c r="B6" s="823">
        <f>M6-M6*$D$69</f>
        <v>-2.0871009895785541E-13</v>
      </c>
      <c r="C6" s="1114">
        <f>'2022 Emisja opti'!C6:C14</f>
        <v>338.42</v>
      </c>
      <c r="D6" s="824">
        <f>$B$6*Wskazniki!B37</f>
        <v>-4.6959772265517463E-17</v>
      </c>
      <c r="E6" s="824">
        <f>$B$6*Wskazniki!C37</f>
        <v>-4.1950729890528941E-17</v>
      </c>
      <c r="F6" s="824">
        <f>$B$6*Wskazniki!D37</f>
        <v>-1.9564484676309363E-14</v>
      </c>
      <c r="G6" s="824">
        <f>$B$6*Wskazniki!E37</f>
        <v>-5.6351726718620966E-20</v>
      </c>
      <c r="H6" s="824">
        <f>$B$6*Wskazniki!F37</f>
        <v>-1.8783908906206985E-16</v>
      </c>
      <c r="I6" s="824">
        <f>$B$6*Wskazniki!G37</f>
        <v>-3.2976195635341149E-17</v>
      </c>
      <c r="J6" s="824">
        <f>$B$6*Wskazniki!H37</f>
        <v>-4.1984597465818025E-16</v>
      </c>
      <c r="K6" s="842"/>
      <c r="L6" s="814" t="s">
        <v>479</v>
      </c>
      <c r="M6" s="825">
        <f t="shared" ref="M6:M15" si="0">N6*$M$16</f>
        <v>-2.0871009895785541E-13</v>
      </c>
      <c r="N6" s="826">
        <f>100%-N7-N8-N9-N10-N11-N12-N13-N14</f>
        <v>-2.2551405187698492E-17</v>
      </c>
      <c r="O6" s="826">
        <f>'2022 Emisja zaniech'!O6</f>
        <v>0</v>
      </c>
      <c r="Q6" s="844" t="s">
        <v>667</v>
      </c>
      <c r="R6" s="961">
        <f>'2032 Emisja opti'!R6</f>
        <v>9.4789999999999992</v>
      </c>
      <c r="S6" s="825">
        <f>('2022 Emisja zaniech'!B7+'2022 Emisja zaniech'!B23+'2022 Emisja zaniech'!B39+'2022 Emisja zaniech'!B55)/1000</f>
        <v>9.7187950536677459</v>
      </c>
      <c r="T6" s="825">
        <f t="shared" ref="T6:T13" si="1">(B7+B23+B39+B55)/1000</f>
        <v>10.134216389971868</v>
      </c>
      <c r="Y6" s="920">
        <f>AA6+B6</f>
        <v>-2.0871009895785541E-13</v>
      </c>
      <c r="Z6" s="921" t="s">
        <v>479</v>
      </c>
      <c r="AA6" s="922">
        <f>M6*$D$69</f>
        <v>0</v>
      </c>
      <c r="AB6" s="1145">
        <f>'2022 Emisja opti'!T6:T14</f>
        <v>0</v>
      </c>
      <c r="AC6" s="923">
        <f>$AA$6*Wskazniki!K37</f>
        <v>0</v>
      </c>
      <c r="AD6" s="923">
        <f>$AA$6*Wskazniki!L37</f>
        <v>0</v>
      </c>
      <c r="AE6" s="923">
        <f>$AA$6*Wskazniki!M37</f>
        <v>0</v>
      </c>
      <c r="AF6" s="923">
        <f>$AA$6*Wskazniki!N37</f>
        <v>0</v>
      </c>
      <c r="AG6" s="923">
        <f>$AA$6*Wskazniki!O37</f>
        <v>0</v>
      </c>
      <c r="AH6" s="923">
        <f>$AA$6*Wskazniki!P37</f>
        <v>0</v>
      </c>
      <c r="AI6" s="923">
        <f>$AA$6*Wskazniki!Q37</f>
        <v>0</v>
      </c>
    </row>
    <row r="7" spans="1:36">
      <c r="A7" s="814" t="s">
        <v>480</v>
      </c>
      <c r="B7" s="823">
        <f t="shared" ref="B7:B14" si="2">M7-M7*$D$69</f>
        <v>3369.8329291634095</v>
      </c>
      <c r="C7" s="1115"/>
      <c r="D7" s="824">
        <f>Wskazniki!B38*'2032 Emisja zaniech'!$B$7</f>
        <v>0</v>
      </c>
      <c r="E7" s="824">
        <f>Wskazniki!C38*'2032 Emisja zaniech'!$B$7</f>
        <v>0</v>
      </c>
      <c r="F7" s="824">
        <f>Wskazniki!D38*'2032 Emisja zaniech'!$B$7</f>
        <v>0</v>
      </c>
      <c r="G7" s="824">
        <f>Wskazniki!E38*'2032 Emisja zaniech'!$B$7</f>
        <v>0</v>
      </c>
      <c r="H7" s="824">
        <f>Wskazniki!F38*'2032 Emisja zaniech'!$B$7</f>
        <v>0</v>
      </c>
      <c r="I7" s="824">
        <f>Wskazniki!G38*'2032 Emisja zaniech'!$B$7</f>
        <v>0</v>
      </c>
      <c r="J7" s="824">
        <f>Wskazniki!H38*'2032 Emisja zaniech'!$B$7</f>
        <v>0</v>
      </c>
      <c r="K7" s="842"/>
      <c r="L7" s="814" t="str">
        <f>A7</f>
        <v>sieć ciepłownicza</v>
      </c>
      <c r="M7" s="825">
        <f t="shared" si="0"/>
        <v>3369.8329291634095</v>
      </c>
      <c r="N7" s="828">
        <f>O7</f>
        <v>0.36411495265381666</v>
      </c>
      <c r="O7" s="826">
        <f>'2022 Emisja zaniech'!O7</f>
        <v>0.36411495265381666</v>
      </c>
      <c r="Q7" s="844" t="str">
        <f t="shared" ref="Q6:Q14" si="3">A8</f>
        <v>gaz</v>
      </c>
      <c r="R7" s="961">
        <f>'2032 Emisja opti'!R7</f>
        <v>29.165621499999993</v>
      </c>
      <c r="S7" s="825">
        <f>('2022 Emisja zaniech'!B8+'2022 Emisja zaniech'!B24+'2022 Emisja zaniech'!B40+'2022 Emisja zaniech'!B56)/1000</f>
        <v>32.793800374913374</v>
      </c>
      <c r="T7" s="825">
        <f>(B8+B24+B40+B56)/1000</f>
        <v>34.830954354793164</v>
      </c>
      <c r="Y7" s="920">
        <f t="shared" ref="Y7:Y14" si="4">AA7+B7</f>
        <v>3369.8329291634095</v>
      </c>
      <c r="Z7" s="921" t="s">
        <v>480</v>
      </c>
      <c r="AA7" s="922">
        <f t="shared" ref="AA7:AA14" si="5">M7*$D$69</f>
        <v>0</v>
      </c>
      <c r="AB7" s="1146"/>
      <c r="AC7" s="923">
        <f>Wskazniki!AA38*'2032 Emisja zaniech'!$B$7</f>
        <v>0</v>
      </c>
      <c r="AD7" s="923">
        <f>Wskazniki!AB38*'2032 Emisja zaniech'!$B$7</f>
        <v>0</v>
      </c>
      <c r="AE7" s="923">
        <f>Wskazniki!AC38*'2032 Emisja zaniech'!$B$7</f>
        <v>0</v>
      </c>
      <c r="AF7" s="923">
        <f>Wskazniki!AD38*'2032 Emisja zaniech'!$B$7</f>
        <v>0</v>
      </c>
      <c r="AG7" s="923">
        <f>Wskazniki!AE38*'2032 Emisja zaniech'!$B$7</f>
        <v>0</v>
      </c>
      <c r="AH7" s="923">
        <f>Wskazniki!AF38*'2032 Emisja zaniech'!$B$7</f>
        <v>0</v>
      </c>
      <c r="AI7" s="923">
        <f>Wskazniki!AG38*'2032 Emisja zaniech'!$B$7</f>
        <v>0</v>
      </c>
    </row>
    <row r="8" spans="1:36" ht="15" customHeight="1">
      <c r="A8" s="814" t="s">
        <v>331</v>
      </c>
      <c r="B8" s="823">
        <f t="shared" si="2"/>
        <v>2090.8398227958146</v>
      </c>
      <c r="C8" s="1115"/>
      <c r="D8" s="824">
        <f>$B$8*Wskazniki!B39</f>
        <v>1.0454199113979074E-3</v>
      </c>
      <c r="E8" s="824">
        <f>$B$8*Wskazniki!C39</f>
        <v>1.0454199113979074E-3</v>
      </c>
      <c r="F8" s="824">
        <f>$B$8*Wskazniki!D39</f>
        <v>116.71067890846237</v>
      </c>
      <c r="G8" s="824">
        <f>$B$8*Wskazniki!E39</f>
        <v>0</v>
      </c>
      <c r="H8" s="824">
        <f>$B$8*Wskazniki!F39</f>
        <v>1.0454199113979074E-3</v>
      </c>
      <c r="I8" s="824">
        <f>$B$8*Wskazniki!G39</f>
        <v>0.10454199113979074</v>
      </c>
      <c r="J8" s="824">
        <f>$B$8*Wskazniki!H39</f>
        <v>1.568129867096861E-2</v>
      </c>
      <c r="K8" s="842"/>
      <c r="L8" s="814" t="s">
        <v>331</v>
      </c>
      <c r="M8" s="825">
        <f t="shared" si="0"/>
        <v>2090.8398227958146</v>
      </c>
      <c r="N8" s="828">
        <f t="shared" ref="N8:N14" si="6">O8</f>
        <v>0.22591803780403244</v>
      </c>
      <c r="O8" s="826">
        <f>'2022 Emisja zaniech'!O8</f>
        <v>0.22591803780403244</v>
      </c>
      <c r="Q8" s="844" t="str">
        <f t="shared" si="3"/>
        <v>drewno</v>
      </c>
      <c r="R8" s="961">
        <f>'2032 Emisja opti'!R8</f>
        <v>28.967743856442041</v>
      </c>
      <c r="S8" s="825">
        <f>('2022 Emisja zaniech'!B9+'2022 Emisja zaniech'!B25+'2022 Emisja zaniech'!B41+'2022 Emisja zaniech'!B57)/1000</f>
        <v>29.780923575970469</v>
      </c>
      <c r="T8" s="825">
        <f t="shared" si="1"/>
        <v>31.700175297898525</v>
      </c>
      <c r="Y8" s="920">
        <f t="shared" si="4"/>
        <v>2090.8398227958146</v>
      </c>
      <c r="Z8" s="921" t="s">
        <v>331</v>
      </c>
      <c r="AA8" s="922">
        <f t="shared" si="5"/>
        <v>0</v>
      </c>
      <c r="AB8" s="1146"/>
      <c r="AC8" s="923">
        <f>$B$8*Wskazniki!AA39</f>
        <v>0</v>
      </c>
      <c r="AD8" s="923">
        <f>$B$8*Wskazniki!AB39</f>
        <v>0</v>
      </c>
      <c r="AE8" s="923">
        <f>$B$8*Wskazniki!AC39</f>
        <v>0</v>
      </c>
      <c r="AF8" s="923">
        <f>$B$8*Wskazniki!AD39</f>
        <v>0</v>
      </c>
      <c r="AG8" s="923">
        <f>$B$8*Wskazniki!AE39</f>
        <v>0</v>
      </c>
      <c r="AH8" s="923">
        <f>$B$8*Wskazniki!AF39</f>
        <v>0</v>
      </c>
      <c r="AI8" s="923">
        <f>$B$8*Wskazniki!AG39</f>
        <v>0</v>
      </c>
    </row>
    <row r="9" spans="1:36">
      <c r="A9" s="814" t="s">
        <v>335</v>
      </c>
      <c r="B9" s="823">
        <f t="shared" si="2"/>
        <v>0</v>
      </c>
      <c r="C9" s="1115"/>
      <c r="D9" s="824">
        <f>$B$9*Wskazniki!B40</f>
        <v>0</v>
      </c>
      <c r="E9" s="824">
        <f>$B$9*Wskazniki!C40</f>
        <v>0</v>
      </c>
      <c r="F9" s="824">
        <f>$B$9*Wskazniki!D40</f>
        <v>0</v>
      </c>
      <c r="G9" s="824">
        <f>$B$9*Wskazniki!E40</f>
        <v>0</v>
      </c>
      <c r="H9" s="824">
        <f>$B$9*Wskazniki!F40</f>
        <v>0</v>
      </c>
      <c r="I9" s="824">
        <f>$B$9*Wskazniki!G40</f>
        <v>0</v>
      </c>
      <c r="J9" s="824">
        <f>$B$9*Wskazniki!H40</f>
        <v>0</v>
      </c>
      <c r="K9" s="842"/>
      <c r="L9" s="814" t="s">
        <v>335</v>
      </c>
      <c r="M9" s="825">
        <f t="shared" si="0"/>
        <v>0</v>
      </c>
      <c r="N9" s="828">
        <f t="shared" si="6"/>
        <v>0</v>
      </c>
      <c r="O9" s="826">
        <f>'2022 Emisja zaniech'!O9</f>
        <v>0</v>
      </c>
      <c r="Q9" s="844" t="str">
        <f t="shared" si="3"/>
        <v>pelet</v>
      </c>
      <c r="R9" s="961">
        <f>'2032 Emisja opti'!R9</f>
        <v>11.051283618268929</v>
      </c>
      <c r="S9" s="825">
        <f>('2022 Emisja zaniech'!B10+'2022 Emisja zaniech'!B26+'2022 Emisja zaniech'!B42+'2022 Emisja zaniech'!B58)/1000</f>
        <v>11.392258679932485</v>
      </c>
      <c r="T9" s="825">
        <f t="shared" si="1"/>
        <v>12.17994515398048</v>
      </c>
      <c r="Y9" s="920">
        <f t="shared" si="4"/>
        <v>0</v>
      </c>
      <c r="Z9" s="921" t="s">
        <v>335</v>
      </c>
      <c r="AA9" s="922">
        <f t="shared" si="5"/>
        <v>0</v>
      </c>
      <c r="AB9" s="1146"/>
      <c r="AC9" s="923">
        <f>$AA$9*Wskazniki!K40</f>
        <v>0</v>
      </c>
      <c r="AD9" s="923">
        <f>$AA$9*Wskazniki!L40</f>
        <v>0</v>
      </c>
      <c r="AE9" s="923">
        <f>$AA$9*Wskazniki!M40</f>
        <v>0</v>
      </c>
      <c r="AF9" s="923">
        <f>$AA$9*Wskazniki!N40</f>
        <v>0</v>
      </c>
      <c r="AG9" s="923">
        <f>$AA$9*Wskazniki!O40</f>
        <v>0</v>
      </c>
      <c r="AH9" s="923">
        <f>$AA$9*Wskazniki!P40</f>
        <v>0</v>
      </c>
      <c r="AI9" s="923">
        <f>$AA$9*Wskazniki!Q40</f>
        <v>0</v>
      </c>
    </row>
    <row r="10" spans="1:36">
      <c r="A10" s="814" t="s">
        <v>337</v>
      </c>
      <c r="B10" s="823">
        <f t="shared" si="2"/>
        <v>0</v>
      </c>
      <c r="C10" s="1115"/>
      <c r="D10" s="824">
        <f>$B$10*Wskazniki!B41</f>
        <v>0</v>
      </c>
      <c r="E10" s="824">
        <f>$B$10*Wskazniki!C41</f>
        <v>0</v>
      </c>
      <c r="F10" s="824">
        <f>$B$10*Wskazniki!D41</f>
        <v>0</v>
      </c>
      <c r="G10" s="824">
        <f>$B$10*Wskazniki!E41</f>
        <v>0</v>
      </c>
      <c r="H10" s="824">
        <f>$B$10*Wskazniki!F41</f>
        <v>0</v>
      </c>
      <c r="I10" s="824">
        <f>$B$10*Wskazniki!G41</f>
        <v>0</v>
      </c>
      <c r="J10" s="824">
        <f>$B$10*Wskazniki!H41</f>
        <v>0</v>
      </c>
      <c r="K10" s="842"/>
      <c r="L10" s="814" t="s">
        <v>337</v>
      </c>
      <c r="M10" s="825">
        <f t="shared" si="0"/>
        <v>0</v>
      </c>
      <c r="N10" s="828">
        <f t="shared" si="6"/>
        <v>0</v>
      </c>
      <c r="O10" s="826">
        <f>'2022 Emisja zaniech'!O10</f>
        <v>0</v>
      </c>
      <c r="Q10" s="844" t="str">
        <f t="shared" si="3"/>
        <v>olej opałowy</v>
      </c>
      <c r="R10" s="961">
        <f>'2032 Emisja opti'!R10</f>
        <v>16.260403942576815</v>
      </c>
      <c r="S10" s="825">
        <f>('2022 Emisja zaniech'!B11+'2022 Emisja zaniech'!B27+'2022 Emisja zaniech'!B43+'2022 Emisja zaniech'!B59)/1000</f>
        <v>16.761837667883629</v>
      </c>
      <c r="T10" s="825">
        <f t="shared" si="1"/>
        <v>17.689153629729184</v>
      </c>
      <c r="Y10" s="920">
        <f t="shared" si="4"/>
        <v>0</v>
      </c>
      <c r="Z10" s="921" t="s">
        <v>337</v>
      </c>
      <c r="AA10" s="922">
        <f t="shared" si="5"/>
        <v>0</v>
      </c>
      <c r="AB10" s="1146"/>
      <c r="AC10" s="923">
        <f>$AA$10*Wskazniki!K41</f>
        <v>0</v>
      </c>
      <c r="AD10" s="923">
        <f>$AA$10*Wskazniki!L41</f>
        <v>0</v>
      </c>
      <c r="AE10" s="923">
        <f>$AA$10*Wskazniki!M41</f>
        <v>0</v>
      </c>
      <c r="AF10" s="923">
        <f>$AA$10*Wskazniki!N41</f>
        <v>0</v>
      </c>
      <c r="AG10" s="923">
        <f>$AA$10*Wskazniki!O41</f>
        <v>0</v>
      </c>
      <c r="AH10" s="923">
        <f>$AA$10*Wskazniki!P41</f>
        <v>0</v>
      </c>
      <c r="AI10" s="923">
        <f>$AA$10*Wskazniki!Q41</f>
        <v>0</v>
      </c>
    </row>
    <row r="11" spans="1:36">
      <c r="A11" s="814" t="s">
        <v>338</v>
      </c>
      <c r="B11" s="823">
        <f t="shared" si="2"/>
        <v>3461.3056764499802</v>
      </c>
      <c r="C11" s="1115"/>
      <c r="D11" s="824">
        <f>$B$11*Wskazniki!B42</f>
        <v>1.038391702934994E-2</v>
      </c>
      <c r="E11" s="824">
        <f>$B$11*Wskazniki!C42</f>
        <v>1.038391702934994E-2</v>
      </c>
      <c r="F11" s="824">
        <f>$B$11*Wskazniki!D42</f>
        <v>265.101401759304</v>
      </c>
      <c r="G11" s="824">
        <f>$B$11*Wskazniki!E42</f>
        <v>3.46130567644998E-5</v>
      </c>
      <c r="H11" s="824">
        <f>$B$11*Wskazniki!F42</f>
        <v>0.4845827947029972</v>
      </c>
      <c r="I11" s="824">
        <f>$B$11*Wskazniki!G42</f>
        <v>0.2422913973514986</v>
      </c>
      <c r="J11" s="824">
        <f>$B$11*Wskazniki!H42</f>
        <v>5.6258518481886115E-2</v>
      </c>
      <c r="K11" s="842"/>
      <c r="L11" s="814" t="s">
        <v>587</v>
      </c>
      <c r="M11" s="825">
        <f t="shared" si="0"/>
        <v>3461.3056764499802</v>
      </c>
      <c r="N11" s="828">
        <f t="shared" si="6"/>
        <v>0.37399870527523604</v>
      </c>
      <c r="O11" s="826">
        <f>'2022 Emisja zaniech'!O11</f>
        <v>0.37399870527523604</v>
      </c>
      <c r="Q11" s="844" t="str">
        <f t="shared" si="3"/>
        <v>prąd</v>
      </c>
      <c r="R11" s="961">
        <f>'2032 Emisja opti'!R11</f>
        <v>1.9993802142467803</v>
      </c>
      <c r="S11" s="825">
        <f>('2022 Emisja zaniech'!B12+'2022 Emisja zaniech'!B28+'2022 Emisja zaniech'!B44+'2022 Emisja zaniech'!B60)/1000</f>
        <v>2.0644010722432937</v>
      </c>
      <c r="T11" s="825">
        <f t="shared" si="1"/>
        <v>2.2129218127657051</v>
      </c>
      <c r="Y11" s="920">
        <f t="shared" si="4"/>
        <v>3461.3056764499802</v>
      </c>
      <c r="Z11" s="921" t="s">
        <v>338</v>
      </c>
      <c r="AA11" s="922">
        <f t="shared" si="5"/>
        <v>0</v>
      </c>
      <c r="AB11" s="1146"/>
      <c r="AC11" s="923">
        <f>$B$11*Wskazniki!AA42</f>
        <v>0</v>
      </c>
      <c r="AD11" s="923">
        <f>$B$11*Wskazniki!AB42</f>
        <v>0</v>
      </c>
      <c r="AE11" s="923">
        <f>$B$11*Wskazniki!AC42</f>
        <v>0</v>
      </c>
      <c r="AF11" s="923">
        <f>$B$11*Wskazniki!AD42</f>
        <v>0</v>
      </c>
      <c r="AG11" s="923">
        <f>$B$11*Wskazniki!AE42</f>
        <v>0</v>
      </c>
      <c r="AH11" s="923">
        <f>$B$11*Wskazniki!AF42</f>
        <v>0</v>
      </c>
      <c r="AI11" s="923">
        <f>$B$11*Wskazniki!AG42</f>
        <v>0</v>
      </c>
    </row>
    <row r="12" spans="1:36" ht="15" customHeight="1">
      <c r="A12" s="814" t="s">
        <v>531</v>
      </c>
      <c r="B12" s="823">
        <f t="shared" si="2"/>
        <v>0</v>
      </c>
      <c r="C12" s="1115"/>
      <c r="D12" s="824">
        <v>0</v>
      </c>
      <c r="E12" s="824">
        <v>0</v>
      </c>
      <c r="F12" s="960">
        <f>(C6*Wskazniki!D43)+(B12+M12)*Wskazniki!D43</f>
        <v>274.79704000000004</v>
      </c>
      <c r="G12" s="824">
        <v>0</v>
      </c>
      <c r="H12" s="824">
        <v>0</v>
      </c>
      <c r="I12" s="824">
        <v>0</v>
      </c>
      <c r="J12" s="824">
        <v>0</v>
      </c>
      <c r="K12" s="842"/>
      <c r="L12" s="814" t="s">
        <v>531</v>
      </c>
      <c r="M12" s="825">
        <f t="shared" si="0"/>
        <v>0</v>
      </c>
      <c r="N12" s="828">
        <f t="shared" si="6"/>
        <v>0</v>
      </c>
      <c r="O12" s="826">
        <f>'2022 Emisja zaniech'!O12</f>
        <v>0</v>
      </c>
      <c r="Q12" s="844" t="str">
        <f t="shared" si="3"/>
        <v>kolektory słoneczne</v>
      </c>
      <c r="R12" s="961">
        <f>'2032 Emisja opti'!R12</f>
        <v>1.5114761713974243</v>
      </c>
      <c r="S12" s="825">
        <f>('2022 Emisja zaniech'!B13+'2022 Emisja zaniech'!B29+'2022 Emisja zaniech'!B45+'2022 Emisja zaniech'!B61)/1000</f>
        <v>1.557026149774789</v>
      </c>
      <c r="T12" s="825">
        <f t="shared" si="1"/>
        <v>1.6486627268743868</v>
      </c>
      <c r="Y12" s="920">
        <f t="shared" si="4"/>
        <v>0</v>
      </c>
      <c r="Z12" s="921" t="s">
        <v>531</v>
      </c>
      <c r="AA12" s="922">
        <f t="shared" si="5"/>
        <v>0</v>
      </c>
      <c r="AB12" s="1146"/>
      <c r="AC12" s="923">
        <v>0</v>
      </c>
      <c r="AD12" s="923">
        <v>0</v>
      </c>
      <c r="AE12" s="923">
        <f>(AB6*Wskazniki!AC43)</f>
        <v>0</v>
      </c>
      <c r="AF12" s="923">
        <v>0</v>
      </c>
      <c r="AG12" s="923">
        <v>0</v>
      </c>
      <c r="AH12" s="923">
        <v>0</v>
      </c>
      <c r="AI12" s="923">
        <v>0</v>
      </c>
    </row>
    <row r="13" spans="1:36">
      <c r="A13" s="831" t="s">
        <v>539</v>
      </c>
      <c r="B13" s="823">
        <f t="shared" si="2"/>
        <v>203.62196993718956</v>
      </c>
      <c r="C13" s="1115"/>
      <c r="D13" s="824"/>
      <c r="E13" s="824"/>
      <c r="F13" s="824"/>
      <c r="G13" s="824"/>
      <c r="H13" s="824"/>
      <c r="I13" s="824"/>
      <c r="J13" s="824"/>
      <c r="K13" s="842"/>
      <c r="L13" s="814" t="s">
        <v>482</v>
      </c>
      <c r="M13" s="825">
        <f t="shared" si="0"/>
        <v>203.62196993718956</v>
      </c>
      <c r="N13" s="828">
        <f t="shared" si="6"/>
        <v>2.2001626045408434E-2</v>
      </c>
      <c r="O13" s="826">
        <f>'2022 Emisja zaniech'!O13</f>
        <v>2.2001626045408434E-2</v>
      </c>
      <c r="Q13" s="844" t="str">
        <f t="shared" si="3"/>
        <v>pompy ciepła</v>
      </c>
      <c r="R13" s="961">
        <f>'2032 Emisja opti'!R13</f>
        <v>1.4196702142467803</v>
      </c>
      <c r="S13" s="825">
        <f>('2022 Emisja zaniech'!B14+'2022 Emisja zaniech'!B30+'2022 Emisja zaniech'!B46+'2022 Emisja zaniech'!B62)/1000</f>
        <v>1.4539363637404485</v>
      </c>
      <c r="T13" s="825">
        <f t="shared" si="1"/>
        <v>1.5289397318899183</v>
      </c>
      <c r="Y13" s="920">
        <f t="shared" si="4"/>
        <v>203.62196993718956</v>
      </c>
      <c r="Z13" s="924" t="s">
        <v>539</v>
      </c>
      <c r="AA13" s="922">
        <f t="shared" si="5"/>
        <v>0</v>
      </c>
      <c r="AB13" s="1146"/>
      <c r="AC13" s="923"/>
      <c r="AD13" s="923"/>
      <c r="AE13" s="923"/>
      <c r="AF13" s="923"/>
      <c r="AG13" s="923"/>
      <c r="AH13" s="923"/>
      <c r="AI13" s="923"/>
    </row>
    <row r="14" spans="1:36">
      <c r="A14" s="831" t="s">
        <v>597</v>
      </c>
      <c r="B14" s="823">
        <f t="shared" si="2"/>
        <v>129.25965231262967</v>
      </c>
      <c r="C14" s="1116"/>
      <c r="D14" s="824"/>
      <c r="E14" s="824"/>
      <c r="F14" s="824"/>
      <c r="G14" s="824"/>
      <c r="H14" s="824"/>
      <c r="I14" s="824"/>
      <c r="J14" s="824"/>
      <c r="K14" s="842"/>
      <c r="L14" s="814" t="s">
        <v>589</v>
      </c>
      <c r="M14" s="825">
        <f t="shared" si="0"/>
        <v>129.25965231262967</v>
      </c>
      <c r="N14" s="828">
        <f t="shared" si="6"/>
        <v>1.3966678221506474E-2</v>
      </c>
      <c r="O14" s="826">
        <f>'2022 Emisja zaniech'!O14</f>
        <v>1.3966678221506474E-2</v>
      </c>
      <c r="Q14" s="844" t="str">
        <f t="shared" si="3"/>
        <v>Suma:</v>
      </c>
      <c r="R14" s="976">
        <f>SUM(R5:R13)</f>
        <v>350.45808208268937</v>
      </c>
      <c r="S14" s="834">
        <f>SUM(S5:S13)</f>
        <v>363.22579275877075</v>
      </c>
      <c r="T14" s="834">
        <f t="shared" ref="T14" si="7">SUM(T5:T13)</f>
        <v>386.37136423717101</v>
      </c>
      <c r="Y14" s="920">
        <f t="shared" si="4"/>
        <v>129.25965231262967</v>
      </c>
      <c r="Z14" s="924" t="s">
        <v>597</v>
      </c>
      <c r="AA14" s="922">
        <f t="shared" si="5"/>
        <v>0</v>
      </c>
      <c r="AB14" s="1147"/>
      <c r="AC14" s="923"/>
      <c r="AD14" s="923"/>
      <c r="AE14" s="923"/>
      <c r="AF14" s="923"/>
      <c r="AG14" s="923"/>
      <c r="AH14" s="923"/>
      <c r="AI14" s="923"/>
    </row>
    <row r="15" spans="1:36">
      <c r="A15" s="832" t="s">
        <v>590</v>
      </c>
      <c r="B15" s="833">
        <f>SUM(B6:B14)</f>
        <v>9254.8600506590246</v>
      </c>
      <c r="C15" s="834">
        <f>C6</f>
        <v>338.42</v>
      </c>
      <c r="D15" s="835">
        <f>SUM(D6:D14)</f>
        <v>1.1429336940747801E-2</v>
      </c>
      <c r="E15" s="835">
        <f t="shared" ref="E15:J15" si="8">SUM(E6:E14)</f>
        <v>1.1429336940747806E-2</v>
      </c>
      <c r="F15" s="835">
        <f t="shared" si="8"/>
        <v>656.60912066776632</v>
      </c>
      <c r="G15" s="836">
        <f t="shared" si="8"/>
        <v>3.4613056764499746E-5</v>
      </c>
      <c r="H15" s="835">
        <f t="shared" si="8"/>
        <v>0.48562821461439493</v>
      </c>
      <c r="I15" s="835">
        <f t="shared" si="8"/>
        <v>0.34683338849128931</v>
      </c>
      <c r="J15" s="835">
        <f t="shared" si="8"/>
        <v>7.1939817152854302E-2</v>
      </c>
      <c r="K15" s="842"/>
      <c r="L15" s="829"/>
      <c r="M15" s="825">
        <f t="shared" si="0"/>
        <v>0</v>
      </c>
      <c r="N15" s="829"/>
      <c r="O15" s="829"/>
      <c r="Y15" s="920">
        <f>SUM(Y6:Y14)</f>
        <v>9254.8600506590246</v>
      </c>
      <c r="Z15" s="925" t="s">
        <v>590</v>
      </c>
      <c r="AA15" s="926">
        <f>SUM(AA6:AA14)</f>
        <v>0</v>
      </c>
      <c r="AB15" s="927">
        <f>AB6</f>
        <v>0</v>
      </c>
      <c r="AC15" s="928">
        <f>AC6+AC9+AC10</f>
        <v>0</v>
      </c>
      <c r="AD15" s="928">
        <f t="shared" ref="AD15:AI15" si="9">AD6+AD9+AD10</f>
        <v>0</v>
      </c>
      <c r="AE15" s="928">
        <f t="shared" si="9"/>
        <v>0</v>
      </c>
      <c r="AF15" s="928">
        <f t="shared" si="9"/>
        <v>0</v>
      </c>
      <c r="AG15" s="928">
        <f t="shared" si="9"/>
        <v>0</v>
      </c>
      <c r="AH15" s="928">
        <f t="shared" si="9"/>
        <v>0</v>
      </c>
      <c r="AI15" s="928">
        <f t="shared" si="9"/>
        <v>0</v>
      </c>
    </row>
    <row r="16" spans="1:36">
      <c r="B16" s="837"/>
      <c r="D16" s="838"/>
      <c r="E16" s="838"/>
      <c r="G16" s="838"/>
      <c r="H16" s="838"/>
      <c r="I16" s="838"/>
      <c r="J16" s="838"/>
      <c r="K16" s="842"/>
      <c r="L16" s="829" t="s">
        <v>297</v>
      </c>
      <c r="M16" s="839">
        <f>ZANIECH!R49</f>
        <v>9254.8600506590228</v>
      </c>
      <c r="N16" s="840">
        <f>SUM(N6:N15)</f>
        <v>1</v>
      </c>
      <c r="O16" s="841">
        <f>SUM(O6:O15)</f>
        <v>1</v>
      </c>
      <c r="AA16" s="929"/>
      <c r="AC16" s="930"/>
      <c r="AD16" s="930"/>
      <c r="AF16" s="930"/>
      <c r="AG16" s="930"/>
      <c r="AH16" s="930"/>
      <c r="AI16" s="930"/>
    </row>
    <row r="17" spans="1:36" ht="9.75" customHeight="1">
      <c r="A17" s="1124"/>
      <c r="B17" s="1124"/>
      <c r="C17" s="1124"/>
      <c r="D17" s="1124"/>
      <c r="E17" s="1124"/>
      <c r="F17" s="1124"/>
      <c r="G17" s="1124"/>
      <c r="H17" s="1124"/>
      <c r="I17" s="1124"/>
      <c r="J17" s="1124"/>
      <c r="K17" s="1124"/>
      <c r="L17" s="1124"/>
      <c r="M17" s="1124"/>
      <c r="N17" s="1124"/>
      <c r="O17" s="1124"/>
    </row>
    <row r="18" spans="1:36" ht="15">
      <c r="A18" s="1117" t="s">
        <v>307</v>
      </c>
      <c r="B18" s="1117"/>
      <c r="C18" s="1117"/>
      <c r="D18" s="1117"/>
      <c r="E18" s="1117"/>
      <c r="F18" s="1117"/>
      <c r="G18" s="1117"/>
      <c r="H18" s="1117"/>
      <c r="I18" s="1117"/>
      <c r="J18" s="1117"/>
      <c r="K18" s="842"/>
      <c r="Z18" s="1148" t="s">
        <v>307</v>
      </c>
      <c r="AA18" s="1148"/>
      <c r="AB18" s="1148"/>
      <c r="AC18" s="1148"/>
      <c r="AD18" s="1148"/>
      <c r="AE18" s="1148"/>
      <c r="AF18" s="1148"/>
      <c r="AG18" s="1148"/>
      <c r="AH18" s="1148"/>
      <c r="AI18" s="1148"/>
    </row>
    <row r="19" spans="1:36">
      <c r="A19" s="1118" t="s">
        <v>582</v>
      </c>
      <c r="B19" s="1118"/>
      <c r="C19" s="1118"/>
      <c r="D19" s="1119" t="s">
        <v>583</v>
      </c>
      <c r="E19" s="1119"/>
      <c r="F19" s="1119"/>
      <c r="G19" s="1119"/>
      <c r="H19" s="1119"/>
      <c r="I19" s="1119"/>
      <c r="J19" s="1119"/>
      <c r="K19" s="842"/>
      <c r="Z19" s="1149" t="s">
        <v>582</v>
      </c>
      <c r="AA19" s="1149"/>
      <c r="AB19" s="1149"/>
      <c r="AC19" s="1150" t="s">
        <v>583</v>
      </c>
      <c r="AD19" s="1150"/>
      <c r="AE19" s="1150"/>
      <c r="AF19" s="1150"/>
      <c r="AG19" s="1150"/>
      <c r="AH19" s="1150"/>
      <c r="AI19" s="1150"/>
    </row>
    <row r="20" spans="1:36" s="816" customFormat="1" ht="46.5" customHeight="1">
      <c r="A20" s="1120" t="s">
        <v>516</v>
      </c>
      <c r="B20" s="1122" t="s">
        <v>591</v>
      </c>
      <c r="C20" s="1120" t="s">
        <v>594</v>
      </c>
      <c r="D20" s="1119"/>
      <c r="E20" s="1119"/>
      <c r="F20" s="1119"/>
      <c r="G20" s="1119"/>
      <c r="H20" s="1119"/>
      <c r="I20" s="1119"/>
      <c r="J20" s="1119"/>
      <c r="K20" s="843"/>
      <c r="L20" s="1125" t="s">
        <v>592</v>
      </c>
      <c r="M20" s="1125"/>
      <c r="N20" s="1125"/>
      <c r="O20" s="817" t="s">
        <v>593</v>
      </c>
      <c r="P20" s="818"/>
      <c r="Y20" s="843"/>
      <c r="Z20" s="1142" t="s">
        <v>516</v>
      </c>
      <c r="AA20" s="1144" t="s">
        <v>591</v>
      </c>
      <c r="AB20" s="1142" t="s">
        <v>594</v>
      </c>
      <c r="AC20" s="1150"/>
      <c r="AD20" s="1150"/>
      <c r="AE20" s="1150"/>
      <c r="AF20" s="1150"/>
      <c r="AG20" s="1150"/>
      <c r="AH20" s="1150"/>
      <c r="AI20" s="1150"/>
      <c r="AJ20" s="843"/>
    </row>
    <row r="21" spans="1:36" s="816" customFormat="1" ht="14.25" customHeight="1">
      <c r="A21" s="1121"/>
      <c r="B21" s="1122"/>
      <c r="C21" s="1121"/>
      <c r="D21" s="819" t="s">
        <v>560</v>
      </c>
      <c r="E21" s="819" t="s">
        <v>561</v>
      </c>
      <c r="F21" s="819" t="s">
        <v>584</v>
      </c>
      <c r="G21" s="819" t="s">
        <v>461</v>
      </c>
      <c r="H21" s="819" t="s">
        <v>569</v>
      </c>
      <c r="I21" s="820" t="s">
        <v>571</v>
      </c>
      <c r="J21" s="819" t="s">
        <v>363</v>
      </c>
      <c r="K21" s="843"/>
      <c r="L21" s="822" t="s">
        <v>585</v>
      </c>
      <c r="M21" s="822" t="s">
        <v>586</v>
      </c>
      <c r="N21" s="822">
        <v>2030</v>
      </c>
      <c r="O21" s="821">
        <v>2016</v>
      </c>
      <c r="Y21" s="843"/>
      <c r="Z21" s="1143"/>
      <c r="AA21" s="1144"/>
      <c r="AB21" s="1143"/>
      <c r="AC21" s="918" t="s">
        <v>560</v>
      </c>
      <c r="AD21" s="918" t="s">
        <v>561</v>
      </c>
      <c r="AE21" s="918" t="s">
        <v>584</v>
      </c>
      <c r="AF21" s="918" t="s">
        <v>461</v>
      </c>
      <c r="AG21" s="918" t="s">
        <v>569</v>
      </c>
      <c r="AH21" s="919" t="s">
        <v>571</v>
      </c>
      <c r="AI21" s="918" t="s">
        <v>363</v>
      </c>
      <c r="AJ21" s="843"/>
    </row>
    <row r="22" spans="1:36" ht="15" customHeight="1">
      <c r="A22" s="814" t="s">
        <v>479</v>
      </c>
      <c r="B22" s="823">
        <f>M22-M22*$D$70</f>
        <v>212751.37209574785</v>
      </c>
      <c r="C22" s="1114">
        <f>'2022 Emisja opti'!C22:C30</f>
        <v>4990.8</v>
      </c>
      <c r="D22" s="824">
        <f>$B$22*Wskazniki!B37</f>
        <v>47.869058721543269</v>
      </c>
      <c r="E22" s="824">
        <f>$B$22*Wskazniki!C37</f>
        <v>42.763025791245319</v>
      </c>
      <c r="F22" s="824">
        <f>$B$22*Wskazniki!D37</f>
        <v>19943.313620255401</v>
      </c>
      <c r="G22" s="824">
        <f>$B$22*Wskazniki!E37</f>
        <v>5.744287046585192E-2</v>
      </c>
      <c r="H22" s="824">
        <f>$B$22*Wskazniki!F37</f>
        <v>191.47623488617307</v>
      </c>
      <c r="I22" s="824">
        <f>$B$22*Wskazniki!G37</f>
        <v>33.61471679112816</v>
      </c>
      <c r="J22" s="824">
        <f>$B$22*Wskazniki!H37</f>
        <v>427.97549147557675</v>
      </c>
      <c r="K22" s="842"/>
      <c r="L22" s="814" t="s">
        <v>479</v>
      </c>
      <c r="M22" s="825">
        <f t="shared" ref="M22:M30" si="10">N22*$M$32</f>
        <v>212751.37209574785</v>
      </c>
      <c r="N22" s="826">
        <f>100%-N23-N24-N25-N26-N27-N28-N29-N30</f>
        <v>0.76</v>
      </c>
      <c r="O22" s="826">
        <f>'2022 Emisja zaniech'!O22</f>
        <v>0.76</v>
      </c>
      <c r="Y22" s="920">
        <f>AA22+B22</f>
        <v>212751.37209574785</v>
      </c>
      <c r="Z22" s="921" t="str">
        <f>Z6</f>
        <v>węgiel</v>
      </c>
      <c r="AA22" s="922">
        <f>M22*$D$70</f>
        <v>0</v>
      </c>
      <c r="AB22" s="1145">
        <f>'2022 Emisja opti'!T22:T30</f>
        <v>0</v>
      </c>
      <c r="AC22" s="923">
        <f>$AA$22*Wskazniki!K37</f>
        <v>0</v>
      </c>
      <c r="AD22" s="923">
        <f>$AA$22*Wskazniki!L37</f>
        <v>0</v>
      </c>
      <c r="AE22" s="923">
        <f>$AA$22*Wskazniki!M37</f>
        <v>0</v>
      </c>
      <c r="AF22" s="923">
        <f>$AA$22*Wskazniki!N37</f>
        <v>0</v>
      </c>
      <c r="AG22" s="923">
        <f>$AA$22*Wskazniki!O37</f>
        <v>0</v>
      </c>
      <c r="AH22" s="923">
        <f>$AA$22*Wskazniki!P37</f>
        <v>0</v>
      </c>
      <c r="AI22" s="923">
        <f>$AA$22*Wskazniki!Q37</f>
        <v>0</v>
      </c>
    </row>
    <row r="23" spans="1:36">
      <c r="A23" s="814" t="s">
        <v>480</v>
      </c>
      <c r="B23" s="823">
        <f t="shared" ref="B23:B30" si="11">M23-M23*$D$70</f>
        <v>0</v>
      </c>
      <c r="C23" s="1115"/>
      <c r="D23" s="824">
        <f>Wskazniki!B38*'2032 Emisja zaniech'!$B$23</f>
        <v>0</v>
      </c>
      <c r="E23" s="824">
        <f>Wskazniki!C38*'2032 Emisja zaniech'!$B$23</f>
        <v>0</v>
      </c>
      <c r="F23" s="824">
        <f>Wskazniki!D38*'2032 Emisja zaniech'!$B$23</f>
        <v>0</v>
      </c>
      <c r="G23" s="824">
        <f>Wskazniki!E38*'2032 Emisja zaniech'!$B$23</f>
        <v>0</v>
      </c>
      <c r="H23" s="824">
        <f>Wskazniki!F38*'2032 Emisja zaniech'!$B$23</f>
        <v>0</v>
      </c>
      <c r="I23" s="824">
        <f>Wskazniki!G38*'2032 Emisja zaniech'!$B$23</f>
        <v>0</v>
      </c>
      <c r="J23" s="824">
        <f>Wskazniki!H38*'2032 Emisja zaniech'!$B$23</f>
        <v>0</v>
      </c>
      <c r="K23" s="842"/>
      <c r="L23" s="814" t="str">
        <f>A23</f>
        <v>sieć ciepłownicza</v>
      </c>
      <c r="M23" s="825">
        <f t="shared" si="10"/>
        <v>0</v>
      </c>
      <c r="N23" s="828">
        <f>O23</f>
        <v>0</v>
      </c>
      <c r="O23" s="826">
        <f>'2022 Emisja zaniech'!O23</f>
        <v>0</v>
      </c>
      <c r="Y23" s="920">
        <f t="shared" ref="Y23:Y30" si="12">AA23+B23</f>
        <v>0</v>
      </c>
      <c r="Z23" s="921" t="str">
        <f t="shared" ref="Z23:Z30" si="13">Z7</f>
        <v>sieć ciepłownicza</v>
      </c>
      <c r="AA23" s="922">
        <f t="shared" ref="AA23:AA29" si="14">M23*$D$70</f>
        <v>0</v>
      </c>
      <c r="AB23" s="1146"/>
      <c r="AC23" s="923">
        <f>Wskazniki!AA38*'2032 Emisja zaniech'!$B$23</f>
        <v>0</v>
      </c>
      <c r="AD23" s="923">
        <f>Wskazniki!AB38*'2032 Emisja zaniech'!$B$23</f>
        <v>0</v>
      </c>
      <c r="AE23" s="923">
        <f>Wskazniki!AC38*'2032 Emisja zaniech'!$B$23</f>
        <v>0</v>
      </c>
      <c r="AF23" s="923">
        <f>Wskazniki!AD38*'2032 Emisja zaniech'!$B$23</f>
        <v>0</v>
      </c>
      <c r="AG23" s="923">
        <f>Wskazniki!AE38*'2032 Emisja zaniech'!$B$23</f>
        <v>0</v>
      </c>
      <c r="AH23" s="923">
        <f>Wskazniki!AF38*'2032 Emisja zaniech'!$B$23</f>
        <v>0</v>
      </c>
      <c r="AI23" s="923">
        <f>Wskazniki!AG38*'2032 Emisja zaniech'!$B$23</f>
        <v>0</v>
      </c>
    </row>
    <row r="24" spans="1:36" ht="15" customHeight="1">
      <c r="A24" s="814" t="s">
        <v>331</v>
      </c>
      <c r="B24" s="823">
        <f>M24-M24*$D$70*1.3</f>
        <v>25420.938933301601</v>
      </c>
      <c r="C24" s="1115"/>
      <c r="D24" s="824">
        <f>$B$24*Wskazniki!B39</f>
        <v>1.27104694666508E-2</v>
      </c>
      <c r="E24" s="824">
        <f>$B$24*Wskazniki!C39</f>
        <v>1.27104694666508E-2</v>
      </c>
      <c r="F24" s="824">
        <f>$B$24*Wskazniki!D39</f>
        <v>1418.9968112568954</v>
      </c>
      <c r="G24" s="824">
        <f>$B$24*Wskazniki!E39</f>
        <v>0</v>
      </c>
      <c r="H24" s="824">
        <f>$B$24*Wskazniki!F39</f>
        <v>1.27104694666508E-2</v>
      </c>
      <c r="I24" s="824">
        <f>$B$24*Wskazniki!G39</f>
        <v>1.27104694666508</v>
      </c>
      <c r="J24" s="824">
        <f>$B$24*Wskazniki!H39</f>
        <v>0.19065704199976202</v>
      </c>
      <c r="K24" s="842"/>
      <c r="L24" s="814" t="s">
        <v>331</v>
      </c>
      <c r="M24" s="968">
        <f>N24*$M$32*1.3</f>
        <v>25420.938933301601</v>
      </c>
      <c r="N24" s="828">
        <f t="shared" ref="N24:N30" si="15">O24</f>
        <v>6.9853706913288335E-2</v>
      </c>
      <c r="O24" s="826">
        <f>'2022 Emisja zaniech'!O24</f>
        <v>6.9853706913288335E-2</v>
      </c>
      <c r="Y24" s="920">
        <f t="shared" si="12"/>
        <v>25420.938933301601</v>
      </c>
      <c r="Z24" s="921" t="str">
        <f t="shared" si="13"/>
        <v>gaz</v>
      </c>
      <c r="AA24" s="922">
        <f t="shared" si="14"/>
        <v>0</v>
      </c>
      <c r="AB24" s="1146"/>
      <c r="AC24" s="923">
        <f>$B$24*Wskazniki!AA39</f>
        <v>0</v>
      </c>
      <c r="AD24" s="923">
        <f>$B$24*Wskazniki!AB39</f>
        <v>0</v>
      </c>
      <c r="AE24" s="923">
        <f>$B$24*Wskazniki!AC39</f>
        <v>0</v>
      </c>
      <c r="AF24" s="923">
        <f>$B$24*Wskazniki!AD39</f>
        <v>0</v>
      </c>
      <c r="AG24" s="923">
        <f>$B$24*Wskazniki!AE39</f>
        <v>0</v>
      </c>
      <c r="AH24" s="923">
        <f>$B$24*Wskazniki!AF39</f>
        <v>0</v>
      </c>
      <c r="AI24" s="923">
        <f>$B$24*Wskazniki!AG39</f>
        <v>0</v>
      </c>
    </row>
    <row r="25" spans="1:36">
      <c r="A25" s="814" t="s">
        <v>335</v>
      </c>
      <c r="B25" s="823">
        <f t="shared" si="11"/>
        <v>25194.241432391191</v>
      </c>
      <c r="C25" s="1115"/>
      <c r="D25" s="824">
        <f>$B$25*Wskazniki!B40</f>
        <v>12.093235887547772</v>
      </c>
      <c r="E25" s="824">
        <f>$B$25*Wskazniki!C40</f>
        <v>11.841293473223859</v>
      </c>
      <c r="F25" s="824">
        <f>$B$25*Wskazniki!D40</f>
        <v>0</v>
      </c>
      <c r="G25" s="824">
        <f>$B$25*Wskazniki!E40</f>
        <v>3.0485032133193346E-3</v>
      </c>
      <c r="H25" s="824">
        <f>$B$25*Wskazniki!F40</f>
        <v>0.27713665575630309</v>
      </c>
      <c r="I25" s="824">
        <f>$B$25*Wskazniki!G40</f>
        <v>2.0155393145912952</v>
      </c>
      <c r="J25" s="824">
        <f>$B$25*Wskazniki!H40</f>
        <v>4.51984691297098</v>
      </c>
      <c r="K25" s="842"/>
      <c r="L25" s="814" t="s">
        <v>335</v>
      </c>
      <c r="M25" s="825">
        <f t="shared" si="10"/>
        <v>25194.241432391191</v>
      </c>
      <c r="N25" s="828">
        <f t="shared" si="15"/>
        <v>0.09</v>
      </c>
      <c r="O25" s="826">
        <f>'2022 Emisja zaniech'!O25</f>
        <v>0.09</v>
      </c>
      <c r="Y25" s="920">
        <f t="shared" si="12"/>
        <v>25194.241432391191</v>
      </c>
      <c r="Z25" s="921" t="str">
        <f t="shared" si="13"/>
        <v>drewno</v>
      </c>
      <c r="AA25" s="922">
        <f t="shared" si="14"/>
        <v>0</v>
      </c>
      <c r="AB25" s="1146"/>
      <c r="AC25" s="923">
        <f>$AA$25*Wskazniki!K40</f>
        <v>0</v>
      </c>
      <c r="AD25" s="923">
        <f>$AA$25*Wskazniki!L40</f>
        <v>0</v>
      </c>
      <c r="AE25" s="923">
        <f>$AA$25*Wskazniki!M40</f>
        <v>0</v>
      </c>
      <c r="AF25" s="923">
        <f>$AA$25*Wskazniki!N40</f>
        <v>0</v>
      </c>
      <c r="AG25" s="923">
        <f>$AA$25*Wskazniki!O40</f>
        <v>0</v>
      </c>
      <c r="AH25" s="923">
        <f>$AA$25*Wskazniki!P40</f>
        <v>0</v>
      </c>
      <c r="AI25" s="923">
        <f>$AA$25*Wskazniki!Q40</f>
        <v>0</v>
      </c>
    </row>
    <row r="26" spans="1:36">
      <c r="A26" s="814" t="s">
        <v>337</v>
      </c>
      <c r="B26" s="823">
        <f t="shared" si="11"/>
        <v>8439.0331813137636</v>
      </c>
      <c r="C26" s="1115"/>
      <c r="D26" s="824">
        <f>$B$26*Wskazniki!B41</f>
        <v>4.0507359270306065</v>
      </c>
      <c r="E26" s="824">
        <f>$B$26*Wskazniki!C41</f>
        <v>3.9663455952174687</v>
      </c>
      <c r="F26" s="824">
        <f>$B$26*Wskazniki!D41</f>
        <v>0</v>
      </c>
      <c r="G26" s="824">
        <f>$B$26*Wskazniki!E41</f>
        <v>1.0211230149389655E-3</v>
      </c>
      <c r="H26" s="824">
        <f>$B$26*Wskazniki!F41</f>
        <v>9.2829364994451394E-2</v>
      </c>
      <c r="I26" s="824">
        <f>$B$26*Wskazniki!G41</f>
        <v>0.67512265450510112</v>
      </c>
      <c r="J26" s="824">
        <f>$B$26*Wskazniki!H41</f>
        <v>1.5139625527276892</v>
      </c>
      <c r="K26" s="842"/>
      <c r="L26" s="814" t="s">
        <v>337</v>
      </c>
      <c r="M26" s="825">
        <f t="shared" si="10"/>
        <v>8439.0331813137636</v>
      </c>
      <c r="N26" s="828">
        <f t="shared" si="15"/>
        <v>3.0146293086711646E-2</v>
      </c>
      <c r="O26" s="826">
        <f>'2022 Emisja zaniech'!O26</f>
        <v>3.0146293086711646E-2</v>
      </c>
      <c r="Y26" s="920">
        <f t="shared" si="12"/>
        <v>8439.0331813137636</v>
      </c>
      <c r="Z26" s="921" t="str">
        <f t="shared" si="13"/>
        <v>pelet</v>
      </c>
      <c r="AA26" s="922">
        <f t="shared" si="14"/>
        <v>0</v>
      </c>
      <c r="AB26" s="1146"/>
      <c r="AC26" s="923">
        <f>$AA$26*Wskazniki!K41</f>
        <v>0</v>
      </c>
      <c r="AD26" s="923">
        <f>$AA$26*Wskazniki!L41</f>
        <v>0</v>
      </c>
      <c r="AE26" s="923">
        <f>$AA$26*Wskazniki!M41</f>
        <v>0</v>
      </c>
      <c r="AF26" s="923">
        <f>$AA$26*Wskazniki!N41</f>
        <v>0</v>
      </c>
      <c r="AG26" s="923">
        <f>$AA$26*Wskazniki!O41</f>
        <v>0</v>
      </c>
      <c r="AH26" s="923">
        <f>$AA$26*Wskazniki!P41</f>
        <v>0</v>
      </c>
      <c r="AI26" s="923">
        <f>$AA$26*Wskazniki!Q41</f>
        <v>0</v>
      </c>
    </row>
    <row r="27" spans="1:36">
      <c r="A27" s="814" t="s">
        <v>338</v>
      </c>
      <c r="B27" s="823">
        <f t="shared" si="11"/>
        <v>10077.696572956476</v>
      </c>
      <c r="C27" s="1115"/>
      <c r="D27" s="824">
        <f>$B$27*Wskazniki!B42</f>
        <v>3.023308971886943E-2</v>
      </c>
      <c r="E27" s="824">
        <f>$B$27*Wskazniki!C42</f>
        <v>3.023308971886943E-2</v>
      </c>
      <c r="F27" s="824">
        <f>$B$27*Wskazniki!D42</f>
        <v>771.85078052273661</v>
      </c>
      <c r="G27" s="824">
        <f>$B$27*Wskazniki!E42</f>
        <v>1.0077696572956477E-4</v>
      </c>
      <c r="H27" s="824">
        <f>$B$27*Wskazniki!F42</f>
        <v>1.4108775202139066</v>
      </c>
      <c r="I27" s="824">
        <f>$B$27*Wskazniki!G42</f>
        <v>0.70543876010695328</v>
      </c>
      <c r="J27" s="824">
        <f>$B$27*Wskazniki!H42</f>
        <v>0.16379838474306604</v>
      </c>
      <c r="K27" s="842"/>
      <c r="L27" s="814" t="s">
        <v>587</v>
      </c>
      <c r="M27" s="825">
        <f t="shared" si="10"/>
        <v>10077.696572956476</v>
      </c>
      <c r="N27" s="828">
        <f t="shared" si="15"/>
        <v>3.5999999999999997E-2</v>
      </c>
      <c r="O27" s="826">
        <f>'2022 Emisja zaniech'!O27</f>
        <v>3.5999999999999997E-2</v>
      </c>
      <c r="Y27" s="920">
        <f t="shared" si="12"/>
        <v>10077.696572956476</v>
      </c>
      <c r="Z27" s="921" t="str">
        <f t="shared" si="13"/>
        <v>olej opałowy</v>
      </c>
      <c r="AA27" s="922">
        <f t="shared" si="14"/>
        <v>0</v>
      </c>
      <c r="AB27" s="1146"/>
      <c r="AC27" s="923">
        <f>$B$27*Wskazniki!AA42</f>
        <v>0</v>
      </c>
      <c r="AD27" s="923">
        <f>$B$27*Wskazniki!AB42</f>
        <v>0</v>
      </c>
      <c r="AE27" s="923">
        <f>$B$27*Wskazniki!AC42</f>
        <v>0</v>
      </c>
      <c r="AF27" s="923">
        <f>$B$27*Wskazniki!AD42</f>
        <v>0</v>
      </c>
      <c r="AG27" s="923">
        <f>$B$27*Wskazniki!AE42</f>
        <v>0</v>
      </c>
      <c r="AH27" s="923">
        <f>$B$27*Wskazniki!AF42</f>
        <v>0</v>
      </c>
      <c r="AI27" s="923">
        <f>$B$27*Wskazniki!AG42</f>
        <v>0</v>
      </c>
    </row>
    <row r="28" spans="1:36" ht="15" customHeight="1">
      <c r="A28" s="814" t="s">
        <v>531</v>
      </c>
      <c r="B28" s="823">
        <f t="shared" si="11"/>
        <v>1399.6800795772886</v>
      </c>
      <c r="C28" s="1115"/>
      <c r="D28" s="824">
        <v>0</v>
      </c>
      <c r="E28" s="824">
        <v>0</v>
      </c>
      <c r="F28" s="960">
        <f>(C22*Wskazniki!D43)+(B28+M28)*Wskazniki!D43</f>
        <v>6325.6100492335172</v>
      </c>
      <c r="G28" s="824">
        <v>0</v>
      </c>
      <c r="H28" s="824">
        <v>0</v>
      </c>
      <c r="I28" s="824">
        <v>0</v>
      </c>
      <c r="J28" s="824">
        <v>0</v>
      </c>
      <c r="K28" s="842"/>
      <c r="L28" s="814" t="s">
        <v>531</v>
      </c>
      <c r="M28" s="825">
        <f t="shared" si="10"/>
        <v>1399.6800795772886</v>
      </c>
      <c r="N28" s="828">
        <f t="shared" si="15"/>
        <v>5.0000000000000001E-3</v>
      </c>
      <c r="O28" s="826">
        <f>'2022 Emisja zaniech'!O28</f>
        <v>5.0000000000000001E-3</v>
      </c>
      <c r="Y28" s="920">
        <f t="shared" si="12"/>
        <v>1399.6800795772886</v>
      </c>
      <c r="Z28" s="921" t="str">
        <f t="shared" si="13"/>
        <v>prąd</v>
      </c>
      <c r="AA28" s="922">
        <f t="shared" si="14"/>
        <v>0</v>
      </c>
      <c r="AB28" s="1146"/>
      <c r="AC28" s="923">
        <v>0</v>
      </c>
      <c r="AD28" s="923">
        <v>0</v>
      </c>
      <c r="AE28" s="923">
        <f>(AB22*Wskazniki!AC43)</f>
        <v>0</v>
      </c>
      <c r="AF28" s="923">
        <v>0</v>
      </c>
      <c r="AG28" s="923">
        <v>0</v>
      </c>
      <c r="AH28" s="923">
        <v>0</v>
      </c>
      <c r="AI28" s="923">
        <v>0</v>
      </c>
    </row>
    <row r="29" spans="1:36">
      <c r="A29" s="831" t="s">
        <v>588</v>
      </c>
      <c r="B29" s="823">
        <f t="shared" si="11"/>
        <v>1119.7440636618308</v>
      </c>
      <c r="C29" s="1115"/>
      <c r="D29" s="824"/>
      <c r="E29" s="824"/>
      <c r="F29" s="824"/>
      <c r="G29" s="824"/>
      <c r="H29" s="824"/>
      <c r="I29" s="824"/>
      <c r="J29" s="824"/>
      <c r="K29" s="842"/>
      <c r="L29" s="814" t="s">
        <v>482</v>
      </c>
      <c r="M29" s="825">
        <f t="shared" si="10"/>
        <v>1119.7440636618308</v>
      </c>
      <c r="N29" s="828">
        <f t="shared" si="15"/>
        <v>4.0000000000000001E-3</v>
      </c>
      <c r="O29" s="826">
        <f>'2022 Emisja zaniech'!O29</f>
        <v>4.0000000000000001E-3</v>
      </c>
      <c r="Y29" s="920">
        <f t="shared" si="12"/>
        <v>1119.7440636618308</v>
      </c>
      <c r="Z29" s="921" t="str">
        <f t="shared" si="13"/>
        <v>kolektory słoneczne</v>
      </c>
      <c r="AA29" s="922">
        <f t="shared" si="14"/>
        <v>0</v>
      </c>
      <c r="AB29" s="1146"/>
      <c r="AC29" s="923"/>
      <c r="AD29" s="923"/>
      <c r="AE29" s="923"/>
      <c r="AF29" s="923"/>
      <c r="AG29" s="923"/>
      <c r="AH29" s="923"/>
      <c r="AI29" s="923"/>
    </row>
    <row r="30" spans="1:36">
      <c r="A30" s="831" t="str">
        <f>L30</f>
        <v>OŹE (pompy ciepła)</v>
      </c>
      <c r="B30" s="823">
        <f t="shared" si="11"/>
        <v>1399.6800795772886</v>
      </c>
      <c r="C30" s="1116"/>
      <c r="D30" s="824"/>
      <c r="E30" s="824"/>
      <c r="F30" s="824"/>
      <c r="G30" s="824"/>
      <c r="H30" s="824"/>
      <c r="I30" s="824"/>
      <c r="J30" s="824"/>
      <c r="K30" s="842"/>
      <c r="L30" s="814" t="s">
        <v>589</v>
      </c>
      <c r="M30" s="825">
        <f t="shared" si="10"/>
        <v>1399.6800795772886</v>
      </c>
      <c r="N30" s="828">
        <f t="shared" si="15"/>
        <v>5.0000000000000001E-3</v>
      </c>
      <c r="O30" s="826">
        <f>'2022 Emisja zaniech'!O30</f>
        <v>5.0000000000000001E-3</v>
      </c>
      <c r="Y30" s="920">
        <f t="shared" si="12"/>
        <v>1399.6800795772886</v>
      </c>
      <c r="Z30" s="921" t="str">
        <f t="shared" si="13"/>
        <v>pompy ciepła</v>
      </c>
      <c r="AA30" s="922">
        <f>M30*$D$70</f>
        <v>0</v>
      </c>
      <c r="AB30" s="1147"/>
      <c r="AC30" s="923"/>
      <c r="AD30" s="923"/>
      <c r="AE30" s="923"/>
      <c r="AF30" s="923"/>
      <c r="AG30" s="923"/>
      <c r="AH30" s="923"/>
      <c r="AI30" s="923"/>
    </row>
    <row r="31" spans="1:36">
      <c r="A31" s="832" t="s">
        <v>590</v>
      </c>
      <c r="B31" s="833">
        <f>SUM(B22:B30)</f>
        <v>285802.38643852732</v>
      </c>
      <c r="C31" s="834">
        <f>C22</f>
        <v>4990.8</v>
      </c>
      <c r="D31" s="835">
        <f>SUM(D22:D30)</f>
        <v>64.055974095307164</v>
      </c>
      <c r="E31" s="835">
        <f t="shared" ref="E31:J31" si="16">SUM(E22:E30)</f>
        <v>58.613608418872168</v>
      </c>
      <c r="F31" s="835">
        <f t="shared" si="16"/>
        <v>28459.771261268554</v>
      </c>
      <c r="G31" s="836">
        <f t="shared" si="16"/>
        <v>6.1613273659839783E-2</v>
      </c>
      <c r="H31" s="835">
        <f t="shared" si="16"/>
        <v>193.26978889660438</v>
      </c>
      <c r="I31" s="835">
        <f t="shared" si="16"/>
        <v>38.281864466996588</v>
      </c>
      <c r="J31" s="835">
        <f t="shared" si="16"/>
        <v>434.36375636801824</v>
      </c>
      <c r="K31" s="842"/>
      <c r="L31" s="829"/>
      <c r="M31" s="825"/>
      <c r="N31" s="829"/>
      <c r="O31" s="829"/>
      <c r="Y31" s="920">
        <f>AA31+B31</f>
        <v>285802.38643852732</v>
      </c>
      <c r="Z31" s="925" t="s">
        <v>590</v>
      </c>
      <c r="AA31" s="926">
        <f>SUM(AA22:AA30)</f>
        <v>0</v>
      </c>
      <c r="AB31" s="927">
        <f>AB22</f>
        <v>0</v>
      </c>
      <c r="AC31" s="928">
        <f>AC22+AC25+AC26</f>
        <v>0</v>
      </c>
      <c r="AD31" s="928">
        <f t="shared" ref="AD31:AI31" si="17">AD22+AD25+AD26</f>
        <v>0</v>
      </c>
      <c r="AE31" s="928">
        <f t="shared" si="17"/>
        <v>0</v>
      </c>
      <c r="AF31" s="928">
        <f t="shared" si="17"/>
        <v>0</v>
      </c>
      <c r="AG31" s="928">
        <f t="shared" si="17"/>
        <v>0</v>
      </c>
      <c r="AH31" s="928">
        <f t="shared" si="17"/>
        <v>0</v>
      </c>
      <c r="AI31" s="928">
        <f t="shared" si="17"/>
        <v>0</v>
      </c>
    </row>
    <row r="32" spans="1:36">
      <c r="B32" s="837"/>
      <c r="D32" s="838"/>
      <c r="E32" s="838"/>
      <c r="G32" s="838"/>
      <c r="H32" s="838"/>
      <c r="I32" s="838"/>
      <c r="J32" s="838"/>
      <c r="K32" s="842"/>
      <c r="L32" s="829" t="s">
        <v>297</v>
      </c>
      <c r="M32" s="839">
        <f>ZANIECH!R31</f>
        <v>279936.01591545768</v>
      </c>
      <c r="N32" s="840">
        <f>SUM(N22:N31)</f>
        <v>1</v>
      </c>
      <c r="O32" s="841">
        <f>SUM(O22:O31)</f>
        <v>1</v>
      </c>
      <c r="AA32" s="929"/>
    </row>
    <row r="33" spans="1:36" ht="9.75" customHeight="1">
      <c r="A33" s="1124"/>
      <c r="B33" s="1124"/>
      <c r="C33" s="1124"/>
      <c r="D33" s="1124"/>
      <c r="E33" s="1124"/>
      <c r="F33" s="1124"/>
      <c r="G33" s="1124"/>
      <c r="H33" s="1124"/>
      <c r="I33" s="1124"/>
      <c r="J33" s="1124"/>
      <c r="K33" s="1124"/>
      <c r="L33" s="1124"/>
      <c r="M33" s="1124"/>
      <c r="N33" s="1124"/>
      <c r="O33" s="1124"/>
    </row>
    <row r="34" spans="1:36" ht="15">
      <c r="A34" s="1117" t="s">
        <v>325</v>
      </c>
      <c r="B34" s="1117"/>
      <c r="C34" s="1117"/>
      <c r="D34" s="1117"/>
      <c r="E34" s="1117"/>
      <c r="F34" s="1117"/>
      <c r="G34" s="1117"/>
      <c r="H34" s="1117"/>
      <c r="I34" s="1117"/>
      <c r="J34" s="1117"/>
      <c r="K34" s="842"/>
      <c r="Z34" s="1148" t="s">
        <v>325</v>
      </c>
      <c r="AA34" s="1148"/>
      <c r="AB34" s="1148"/>
      <c r="AC34" s="1148"/>
      <c r="AD34" s="1148"/>
      <c r="AE34" s="1148"/>
      <c r="AF34" s="1148"/>
      <c r="AG34" s="1148"/>
      <c r="AH34" s="1148"/>
      <c r="AI34" s="1148"/>
    </row>
    <row r="35" spans="1:36">
      <c r="A35" s="1118" t="s">
        <v>582</v>
      </c>
      <c r="B35" s="1118"/>
      <c r="C35" s="1118"/>
      <c r="D35" s="1119" t="s">
        <v>583</v>
      </c>
      <c r="E35" s="1119"/>
      <c r="F35" s="1119"/>
      <c r="G35" s="1119"/>
      <c r="H35" s="1119"/>
      <c r="I35" s="1119"/>
      <c r="J35" s="1119"/>
      <c r="K35" s="842"/>
      <c r="Z35" s="1149" t="s">
        <v>582</v>
      </c>
      <c r="AA35" s="1149"/>
      <c r="AB35" s="1149"/>
      <c r="AC35" s="1150" t="s">
        <v>583</v>
      </c>
      <c r="AD35" s="1150"/>
      <c r="AE35" s="1150"/>
      <c r="AF35" s="1150"/>
      <c r="AG35" s="1150"/>
      <c r="AH35" s="1150"/>
      <c r="AI35" s="1150"/>
    </row>
    <row r="36" spans="1:36" s="816" customFormat="1" ht="46.5" customHeight="1">
      <c r="A36" s="1120" t="s">
        <v>516</v>
      </c>
      <c r="B36" s="1122" t="s">
        <v>591</v>
      </c>
      <c r="C36" s="1120" t="s">
        <v>594</v>
      </c>
      <c r="D36" s="1119"/>
      <c r="E36" s="1119"/>
      <c r="F36" s="1119"/>
      <c r="G36" s="1119"/>
      <c r="H36" s="1119"/>
      <c r="I36" s="1119"/>
      <c r="J36" s="1119"/>
      <c r="K36" s="843"/>
      <c r="L36" s="1125" t="s">
        <v>592</v>
      </c>
      <c r="M36" s="1125"/>
      <c r="N36" s="1125"/>
      <c r="O36" s="817" t="s">
        <v>593</v>
      </c>
      <c r="P36" s="818"/>
      <c r="Q36" s="906" t="s">
        <v>25</v>
      </c>
      <c r="R36" s="1130" t="s">
        <v>583</v>
      </c>
      <c r="S36" s="1130"/>
      <c r="T36" s="1130"/>
      <c r="U36" s="1130"/>
      <c r="V36" s="1130"/>
      <c r="W36" s="1130"/>
      <c r="X36" s="1130"/>
      <c r="Y36" s="843"/>
      <c r="Z36" s="1142" t="s">
        <v>516</v>
      </c>
      <c r="AA36" s="1144" t="s">
        <v>591</v>
      </c>
      <c r="AB36" s="1142" t="s">
        <v>594</v>
      </c>
      <c r="AC36" s="1150"/>
      <c r="AD36" s="1150"/>
      <c r="AE36" s="1150"/>
      <c r="AF36" s="1150"/>
      <c r="AG36" s="1150"/>
      <c r="AH36" s="1150"/>
      <c r="AI36" s="1150"/>
      <c r="AJ36" s="843"/>
    </row>
    <row r="37" spans="1:36" s="816" customFormat="1" ht="14.25" customHeight="1">
      <c r="A37" s="1121"/>
      <c r="B37" s="1122"/>
      <c r="C37" s="1121"/>
      <c r="D37" s="819" t="s">
        <v>560</v>
      </c>
      <c r="E37" s="819" t="s">
        <v>561</v>
      </c>
      <c r="F37" s="819" t="s">
        <v>584</v>
      </c>
      <c r="G37" s="819" t="s">
        <v>461</v>
      </c>
      <c r="H37" s="819" t="s">
        <v>569</v>
      </c>
      <c r="I37" s="820" t="s">
        <v>571</v>
      </c>
      <c r="J37" s="819" t="s">
        <v>363</v>
      </c>
      <c r="K37" s="843"/>
      <c r="L37" s="822" t="s">
        <v>585</v>
      </c>
      <c r="M37" s="822" t="s">
        <v>586</v>
      </c>
      <c r="N37" s="822">
        <v>2020</v>
      </c>
      <c r="O37" s="821">
        <v>2016</v>
      </c>
      <c r="Q37" s="906"/>
      <c r="R37" s="906" t="s">
        <v>560</v>
      </c>
      <c r="S37" s="906" t="s">
        <v>561</v>
      </c>
      <c r="T37" s="906" t="s">
        <v>599</v>
      </c>
      <c r="U37" s="906" t="s">
        <v>600</v>
      </c>
      <c r="V37" s="906" t="s">
        <v>601</v>
      </c>
      <c r="W37" s="906" t="s">
        <v>602</v>
      </c>
      <c r="X37" s="906" t="s">
        <v>363</v>
      </c>
      <c r="Y37" s="843"/>
      <c r="Z37" s="1143"/>
      <c r="AA37" s="1144"/>
      <c r="AB37" s="1143"/>
      <c r="AC37" s="918" t="s">
        <v>560</v>
      </c>
      <c r="AD37" s="918" t="s">
        <v>561</v>
      </c>
      <c r="AE37" s="918" t="s">
        <v>584</v>
      </c>
      <c r="AF37" s="918" t="s">
        <v>461</v>
      </c>
      <c r="AG37" s="918" t="s">
        <v>569</v>
      </c>
      <c r="AH37" s="919" t="s">
        <v>571</v>
      </c>
      <c r="AI37" s="918" t="s">
        <v>363</v>
      </c>
      <c r="AJ37" s="843"/>
    </row>
    <row r="38" spans="1:36" ht="15" customHeight="1">
      <c r="A38" s="814" t="s">
        <v>479</v>
      </c>
      <c r="B38" s="823">
        <f>M38-M38*$D$71</f>
        <v>2328.3765207655579</v>
      </c>
      <c r="C38" s="1114">
        <f>'2022 Emisja opti'!C38:C46</f>
        <v>246.49999999999997</v>
      </c>
      <c r="D38" s="824">
        <f>$B$38*Wskazniki!B37</f>
        <v>0.52388471717225049</v>
      </c>
      <c r="E38" s="824">
        <f>$B$38*Wskazniki!C37</f>
        <v>0.46800368067387715</v>
      </c>
      <c r="F38" s="824">
        <f>$B$38*Wskazniki!D37</f>
        <v>218.26201505656337</v>
      </c>
      <c r="G38" s="824">
        <f>$B$38*Wskazniki!E37</f>
        <v>6.2866166060670061E-4</v>
      </c>
      <c r="H38" s="824">
        <f>$B$38*Wskazniki!F37</f>
        <v>2.095538868689002</v>
      </c>
      <c r="I38" s="824">
        <f>$B$38*Wskazniki!G37</f>
        <v>0.36788349028095813</v>
      </c>
      <c r="J38" s="824">
        <f>$B$38*Wskazniki!H37</f>
        <v>4.6838150842400577</v>
      </c>
      <c r="K38" s="842"/>
      <c r="L38" s="814" t="s">
        <v>479</v>
      </c>
      <c r="M38" s="825">
        <f>N38*$M$48</f>
        <v>2328.3765207655579</v>
      </c>
      <c r="N38" s="826">
        <f>100%-N39-N40-N41-N42-N43-N44-N45-N46</f>
        <v>0.23307201929703647</v>
      </c>
      <c r="O38" s="826">
        <f>'2022 Emisja zaniech'!O38</f>
        <v>0.23307201929703655</v>
      </c>
      <c r="Q38" s="850">
        <v>2017</v>
      </c>
      <c r="R38" s="846">
        <f>'2032 Emisja opti'!R38</f>
        <v>75.606774481928852</v>
      </c>
      <c r="S38" s="846">
        <f>'2032 Emisja opti'!S38</f>
        <v>69.200757745609508</v>
      </c>
      <c r="T38" s="846">
        <f>'2032 Emisja opti'!T38</f>
        <v>39083.386234701582</v>
      </c>
      <c r="U38" s="846">
        <f>'2032 Emisja opti'!U38</f>
        <v>7.2299904056553649E-2</v>
      </c>
      <c r="V38" s="846">
        <f>'2032 Emisja opti'!V38</f>
        <v>228.29864416814203</v>
      </c>
      <c r="W38" s="846">
        <f>'2032 Emisja opti'!W38</f>
        <v>47.823747202444515</v>
      </c>
      <c r="X38" s="846">
        <f>'2032 Emisja opti'!X38</f>
        <v>512.15341494545373</v>
      </c>
      <c r="Y38" s="920">
        <f>AA38+B38</f>
        <v>2328.3765207655579</v>
      </c>
      <c r="Z38" s="921" t="s">
        <v>479</v>
      </c>
      <c r="AA38" s="922">
        <f>M38*$D$71</f>
        <v>0</v>
      </c>
      <c r="AB38" s="1145">
        <f>'2022 Emisja opti'!T38:T46</f>
        <v>0</v>
      </c>
      <c r="AC38" s="923">
        <f>$AA$38*Wskazniki!K37</f>
        <v>0</v>
      </c>
      <c r="AD38" s="923">
        <f>$AA$38*Wskazniki!L37</f>
        <v>0</v>
      </c>
      <c r="AE38" s="923">
        <f>$AA$38*Wskazniki!M37</f>
        <v>0</v>
      </c>
      <c r="AF38" s="923">
        <f>$AA$38*Wskazniki!N37</f>
        <v>0</v>
      </c>
      <c r="AG38" s="923">
        <f>$AA$38*Wskazniki!O37</f>
        <v>0</v>
      </c>
      <c r="AH38" s="923">
        <f>$AA$38*Wskazniki!P37</f>
        <v>0</v>
      </c>
      <c r="AI38" s="923">
        <f>$AA$38*Wskazniki!Q37</f>
        <v>0</v>
      </c>
    </row>
    <row r="39" spans="1:36">
      <c r="A39" s="814" t="s">
        <v>480</v>
      </c>
      <c r="B39" s="823">
        <f t="shared" ref="B39:B46" si="18">M39-M39*$D$71</f>
        <v>6764.3834608084599</v>
      </c>
      <c r="C39" s="1115"/>
      <c r="D39" s="824">
        <f>Wskazniki!B38*'2032 Emisja zaniech'!$B$39</f>
        <v>0</v>
      </c>
      <c r="E39" s="824">
        <f>Wskazniki!C38*'2032 Emisja zaniech'!$B$39</f>
        <v>0</v>
      </c>
      <c r="F39" s="824">
        <f>Wskazniki!D38*'2032 Emisja zaniech'!$B$39</f>
        <v>0</v>
      </c>
      <c r="G39" s="824">
        <f>Wskazniki!E38*'2032 Emisja zaniech'!$B$39</f>
        <v>0</v>
      </c>
      <c r="H39" s="824">
        <f>Wskazniki!F38*'2032 Emisja zaniech'!$B$39</f>
        <v>0</v>
      </c>
      <c r="I39" s="824">
        <f>Wskazniki!G38*'2032 Emisja zaniech'!$B$39</f>
        <v>0</v>
      </c>
      <c r="J39" s="824">
        <f>Wskazniki!H38*'2032 Emisja zaniech'!$B$39</f>
        <v>0</v>
      </c>
      <c r="K39" s="842"/>
      <c r="L39" s="814" t="str">
        <f>A39</f>
        <v>sieć ciepłownicza</v>
      </c>
      <c r="M39" s="825">
        <f t="shared" ref="M39:M47" si="19">N39*$M$48</f>
        <v>6764.3834608084599</v>
      </c>
      <c r="N39" s="828">
        <f>O39</f>
        <v>0.67711922811853897</v>
      </c>
      <c r="O39" s="826">
        <f>'2022 Emisja zaniech'!O39</f>
        <v>0.67711922811853897</v>
      </c>
      <c r="Q39" s="850">
        <v>2022</v>
      </c>
      <c r="R39" s="969">
        <f>'2022 Emisja zaniech'!D66</f>
        <v>77.812943005669538</v>
      </c>
      <c r="S39" s="969">
        <f>'2022 Emisja zaniech'!E66</f>
        <v>71.216343651415045</v>
      </c>
      <c r="T39" s="1018">
        <f>('2022 Emisja zaniech'!F66)*0.9</f>
        <v>45868.420481953639</v>
      </c>
      <c r="U39" s="969">
        <f>'2022 Emisja zaniech'!G66</f>
        <v>7.4729333161217104E-2</v>
      </c>
      <c r="V39" s="969">
        <f>'2022 Emisja zaniech'!H66</f>
        <v>234.74849161708616</v>
      </c>
      <c r="W39" s="969">
        <f>'2022 Emisja zaniech'!I66</f>
        <v>46.823917819631589</v>
      </c>
      <c r="X39" s="969">
        <f>'2022 Emisja zaniech'!J66</f>
        <v>526.30569428303477</v>
      </c>
      <c r="Y39" s="920">
        <f t="shared" ref="Y39:Y46" si="20">AA39+B39</f>
        <v>6764.3834608084599</v>
      </c>
      <c r="Z39" s="921" t="s">
        <v>480</v>
      </c>
      <c r="AA39" s="922">
        <f t="shared" ref="AA39:AA46" si="21">M39*$D$71</f>
        <v>0</v>
      </c>
      <c r="AB39" s="1146"/>
      <c r="AC39" s="923">
        <f>Wskazniki!AA38*'2032 Emisja zaniech'!$B$39</f>
        <v>0</v>
      </c>
      <c r="AD39" s="923">
        <f>Wskazniki!AB38*'2032 Emisja zaniech'!$B$39</f>
        <v>0</v>
      </c>
      <c r="AE39" s="923">
        <f>Wskazniki!AC38*'2032 Emisja zaniech'!$B$39</f>
        <v>0</v>
      </c>
      <c r="AF39" s="923">
        <f>Wskazniki!AD38*'2032 Emisja zaniech'!$B$39</f>
        <v>0</v>
      </c>
      <c r="AG39" s="923">
        <f>Wskazniki!AE38*'2032 Emisja zaniech'!$B$39</f>
        <v>0</v>
      </c>
      <c r="AH39" s="923">
        <f>Wskazniki!AF38*'2032 Emisja zaniech'!$B$39</f>
        <v>0</v>
      </c>
      <c r="AI39" s="923">
        <f>Wskazniki!AG38*'2032 Emisja zaniech'!$B$39</f>
        <v>0</v>
      </c>
    </row>
    <row r="40" spans="1:36" ht="15" customHeight="1">
      <c r="A40" s="814" t="s">
        <v>331</v>
      </c>
      <c r="B40" s="823">
        <f t="shared" si="18"/>
        <v>0</v>
      </c>
      <c r="C40" s="1115"/>
      <c r="D40" s="824">
        <f>$B$40*Wskazniki!B39</f>
        <v>0</v>
      </c>
      <c r="E40" s="824">
        <f>$B$40*Wskazniki!C39</f>
        <v>0</v>
      </c>
      <c r="F40" s="824">
        <f>$B$40*Wskazniki!D39</f>
        <v>0</v>
      </c>
      <c r="G40" s="824">
        <f>$B$40*Wskazniki!E39</f>
        <v>0</v>
      </c>
      <c r="H40" s="824">
        <f>$B$40*Wskazniki!F39</f>
        <v>0</v>
      </c>
      <c r="I40" s="824">
        <f>$B$40*Wskazniki!G39</f>
        <v>0</v>
      </c>
      <c r="J40" s="824">
        <f>$B$40*Wskazniki!H39</f>
        <v>0</v>
      </c>
      <c r="K40" s="842"/>
      <c r="L40" s="814" t="s">
        <v>331</v>
      </c>
      <c r="M40" s="968">
        <f>N40*$M$48*1.3</f>
        <v>0</v>
      </c>
      <c r="N40" s="828">
        <f t="shared" ref="N40:N47" si="22">O40</f>
        <v>0</v>
      </c>
      <c r="O40" s="826">
        <f>'2022 Emisja zaniech'!O40</f>
        <v>0</v>
      </c>
      <c r="Q40" s="851" t="s">
        <v>485</v>
      </c>
      <c r="R40" s="974">
        <f>-(R38-R39)/R38</f>
        <v>2.9179508567291065E-2</v>
      </c>
      <c r="S40" s="974">
        <f t="shared" ref="S40:X40" si="23">-(S38-S39)/S38</f>
        <v>2.9126645017603398E-2</v>
      </c>
      <c r="T40" s="974">
        <f t="shared" si="23"/>
        <v>0.17360405279386262</v>
      </c>
      <c r="U40" s="974">
        <f t="shared" si="23"/>
        <v>3.3602106895786937E-2</v>
      </c>
      <c r="V40" s="974">
        <f t="shared" si="23"/>
        <v>2.82517991836772E-2</v>
      </c>
      <c r="W40" s="974">
        <f t="shared" si="23"/>
        <v>-2.0906546251604055E-2</v>
      </c>
      <c r="X40" s="974">
        <f t="shared" si="23"/>
        <v>2.7632890701486987E-2</v>
      </c>
      <c r="Y40" s="920">
        <f t="shared" si="20"/>
        <v>0</v>
      </c>
      <c r="Z40" s="921" t="s">
        <v>331</v>
      </c>
      <c r="AA40" s="922">
        <f t="shared" si="21"/>
        <v>0</v>
      </c>
      <c r="AB40" s="1146"/>
      <c r="AC40" s="923">
        <f>$B$40*Wskazniki!AA39</f>
        <v>0</v>
      </c>
      <c r="AD40" s="923">
        <f>$B$40*Wskazniki!AB39</f>
        <v>0</v>
      </c>
      <c r="AE40" s="923">
        <f>$B$40*Wskazniki!AC39</f>
        <v>0</v>
      </c>
      <c r="AF40" s="923">
        <f>$B$40*Wskazniki!AD39</f>
        <v>0</v>
      </c>
      <c r="AG40" s="923">
        <f>$B$40*Wskazniki!AE39</f>
        <v>0</v>
      </c>
      <c r="AH40" s="923">
        <f>$B$40*Wskazniki!AF39</f>
        <v>0</v>
      </c>
      <c r="AI40" s="923">
        <f>$B$40*Wskazniki!AG39</f>
        <v>0</v>
      </c>
    </row>
    <row r="41" spans="1:36">
      <c r="A41" s="814" t="s">
        <v>335</v>
      </c>
      <c r="B41" s="823">
        <f t="shared" si="18"/>
        <v>0</v>
      </c>
      <c r="C41" s="1115"/>
      <c r="D41" s="824">
        <f>$B$41*Wskazniki!B40</f>
        <v>0</v>
      </c>
      <c r="E41" s="824">
        <f>$B$41*Wskazniki!C40</f>
        <v>0</v>
      </c>
      <c r="F41" s="824">
        <f>$B$41*Wskazniki!D40</f>
        <v>0</v>
      </c>
      <c r="G41" s="824">
        <f>$B$41*Wskazniki!E40</f>
        <v>0</v>
      </c>
      <c r="H41" s="824">
        <f>$B$41*Wskazniki!F40</f>
        <v>0</v>
      </c>
      <c r="I41" s="824">
        <f>$B$41*Wskazniki!G40</f>
        <v>0</v>
      </c>
      <c r="J41" s="824">
        <f>$B$41*Wskazniki!H40</f>
        <v>0</v>
      </c>
      <c r="K41" s="842"/>
      <c r="L41" s="814" t="s">
        <v>335</v>
      </c>
      <c r="M41" s="825">
        <f t="shared" si="19"/>
        <v>0</v>
      </c>
      <c r="N41" s="828">
        <f t="shared" si="22"/>
        <v>0</v>
      </c>
      <c r="O41" s="826">
        <f>'2022 Emisja zaniech'!O41</f>
        <v>0</v>
      </c>
      <c r="Q41" s="850">
        <v>2033</v>
      </c>
      <c r="R41" s="846">
        <f>D64+AC64</f>
        <v>82.883379661303763</v>
      </c>
      <c r="S41" s="846">
        <f t="shared" ref="S41:X41" si="24">E64+AD64</f>
        <v>75.857864973442545</v>
      </c>
      <c r="T41" s="846">
        <f t="shared" si="24"/>
        <v>52960.389706705944</v>
      </c>
      <c r="U41" s="846">
        <f t="shared" si="24"/>
        <v>7.9586912798576964E-2</v>
      </c>
      <c r="V41" s="846">
        <f t="shared" si="24"/>
        <v>249.97833393565116</v>
      </c>
      <c r="W41" s="846">
        <f t="shared" si="24"/>
        <v>49.852728539975331</v>
      </c>
      <c r="X41" s="846">
        <f t="shared" si="24"/>
        <v>560.5034382405222</v>
      </c>
      <c r="Y41" s="920">
        <f t="shared" si="20"/>
        <v>0</v>
      </c>
      <c r="Z41" s="921" t="s">
        <v>335</v>
      </c>
      <c r="AA41" s="922">
        <f t="shared" si="21"/>
        <v>0</v>
      </c>
      <c r="AB41" s="1146"/>
      <c r="AC41" s="923">
        <f>$AA$41*Wskazniki!K40</f>
        <v>0</v>
      </c>
      <c r="AD41" s="923">
        <f>$AA$41*Wskazniki!L40</f>
        <v>0</v>
      </c>
      <c r="AE41" s="923">
        <f>$AA$41*Wskazniki!M40</f>
        <v>0</v>
      </c>
      <c r="AF41" s="923">
        <f>$AA$41*Wskazniki!N40</f>
        <v>0</v>
      </c>
      <c r="AG41" s="923">
        <f>$AA$41*Wskazniki!O40</f>
        <v>0</v>
      </c>
      <c r="AH41" s="923">
        <f>$AA$41*Wskazniki!P40</f>
        <v>0</v>
      </c>
      <c r="AI41" s="923">
        <f>$AA$41*Wskazniki!Q40</f>
        <v>0</v>
      </c>
    </row>
    <row r="42" spans="1:36" ht="12.75" thickBot="1">
      <c r="A42" s="814" t="s">
        <v>337</v>
      </c>
      <c r="B42" s="823">
        <f t="shared" si="18"/>
        <v>0</v>
      </c>
      <c r="C42" s="1115"/>
      <c r="D42" s="824">
        <f>$B$42*Wskazniki!B41</f>
        <v>0</v>
      </c>
      <c r="E42" s="824">
        <f>$B$42*Wskazniki!C41</f>
        <v>0</v>
      </c>
      <c r="F42" s="824">
        <f>$B$42*Wskazniki!D41</f>
        <v>0</v>
      </c>
      <c r="G42" s="824">
        <f>$B$42*Wskazniki!E41</f>
        <v>0</v>
      </c>
      <c r="H42" s="824">
        <f>$B$42*Wskazniki!F41</f>
        <v>0</v>
      </c>
      <c r="I42" s="824">
        <f>$B$42*Wskazniki!G41</f>
        <v>0</v>
      </c>
      <c r="J42" s="824">
        <f>$B$42*Wskazniki!H41</f>
        <v>0</v>
      </c>
      <c r="K42" s="842"/>
      <c r="L42" s="814" t="s">
        <v>337</v>
      </c>
      <c r="M42" s="825">
        <f t="shared" si="19"/>
        <v>0</v>
      </c>
      <c r="N42" s="828">
        <f t="shared" si="22"/>
        <v>0</v>
      </c>
      <c r="O42" s="826">
        <f>'2022 Emisja zaniech'!O42</f>
        <v>0</v>
      </c>
      <c r="Q42" s="852" t="s">
        <v>485</v>
      </c>
      <c r="R42" s="972">
        <f>-(R38-R41)/R38</f>
        <v>9.6242766990597237E-2</v>
      </c>
      <c r="S42" s="972">
        <f t="shared" ref="S42:X42" si="25">-(S38-S41)/S38</f>
        <v>9.6199918103576004E-2</v>
      </c>
      <c r="T42" s="972">
        <f>-(T38-T41)/T38</f>
        <v>0.35506144193010503</v>
      </c>
      <c r="U42" s="972">
        <f t="shared" si="25"/>
        <v>0.10078863640432151</v>
      </c>
      <c r="V42" s="972">
        <f t="shared" si="25"/>
        <v>9.4961973368278232E-2</v>
      </c>
      <c r="W42" s="972">
        <f t="shared" si="25"/>
        <v>4.2426230820890254E-2</v>
      </c>
      <c r="X42" s="972">
        <f t="shared" si="25"/>
        <v>9.4405351764017681E-2</v>
      </c>
      <c r="Y42" s="920">
        <f t="shared" si="20"/>
        <v>0</v>
      </c>
      <c r="Z42" s="921" t="s">
        <v>337</v>
      </c>
      <c r="AA42" s="922">
        <f t="shared" si="21"/>
        <v>0</v>
      </c>
      <c r="AB42" s="1146"/>
      <c r="AC42" s="923">
        <f>$AA$42*Wskazniki!K41</f>
        <v>0</v>
      </c>
      <c r="AD42" s="923">
        <f>$AA$42*Wskazniki!L41</f>
        <v>0</v>
      </c>
      <c r="AE42" s="923">
        <f>$AA$42*Wskazniki!M41</f>
        <v>0</v>
      </c>
      <c r="AF42" s="923">
        <f>$AA$42*Wskazniki!N41</f>
        <v>0</v>
      </c>
      <c r="AG42" s="923">
        <f>$AA$42*Wskazniki!O41</f>
        <v>0</v>
      </c>
      <c r="AH42" s="923">
        <f>$AA$42*Wskazniki!P41</f>
        <v>0</v>
      </c>
      <c r="AI42" s="923">
        <f>$AA$42*Wskazniki!Q41</f>
        <v>0</v>
      </c>
    </row>
    <row r="43" spans="1:36" ht="15">
      <c r="A43" s="814" t="s">
        <v>338</v>
      </c>
      <c r="B43" s="823">
        <f t="shared" si="18"/>
        <v>897.18444756906104</v>
      </c>
      <c r="C43" s="1115"/>
      <c r="D43" s="824">
        <f>$B$43*Wskazniki!B42</f>
        <v>2.6915533427071831E-3</v>
      </c>
      <c r="E43" s="824">
        <f>$B$43*Wskazniki!C42</f>
        <v>2.6915533427071831E-3</v>
      </c>
      <c r="F43" s="824">
        <f>$B$43*Wskazniki!D42</f>
        <v>68.715356839314396</v>
      </c>
      <c r="G43" s="824">
        <f>$B$43*Wskazniki!E42</f>
        <v>8.9718444756906113E-6</v>
      </c>
      <c r="H43" s="824">
        <f>$B$43*Wskazniki!F42</f>
        <v>0.12560582265966852</v>
      </c>
      <c r="I43" s="824">
        <f>$B$43*Wskazniki!G42</f>
        <v>6.280291132983426E-2</v>
      </c>
      <c r="J43" s="824">
        <f>$B$43*Wskazniki!H42</f>
        <v>1.4582435804107525E-2</v>
      </c>
      <c r="K43" s="842"/>
      <c r="L43" s="814" t="s">
        <v>587</v>
      </c>
      <c r="M43" s="825">
        <f t="shared" si="19"/>
        <v>897.18444756906104</v>
      </c>
      <c r="N43" s="828">
        <f t="shared" si="22"/>
        <v>8.9808752584424542E-2</v>
      </c>
      <c r="O43" s="826">
        <f>'2022 Emisja zaniech'!O43</f>
        <v>8.9808752584424542E-2</v>
      </c>
      <c r="Q43" s="905" t="s">
        <v>603</v>
      </c>
      <c r="R43" s="905"/>
      <c r="S43" s="905"/>
      <c r="T43" s="905"/>
      <c r="U43" s="905"/>
      <c r="V43" s="905"/>
      <c r="W43" s="905"/>
      <c r="X43" s="905"/>
      <c r="Y43" s="920">
        <f t="shared" si="20"/>
        <v>897.18444756906104</v>
      </c>
      <c r="Z43" s="921" t="s">
        <v>338</v>
      </c>
      <c r="AA43" s="922">
        <f t="shared" si="21"/>
        <v>0</v>
      </c>
      <c r="AB43" s="1146"/>
      <c r="AC43" s="923">
        <f>$B$43*Wskazniki!AA42</f>
        <v>0</v>
      </c>
      <c r="AD43" s="923">
        <f>$B$43*Wskazniki!AB42</f>
        <v>0</v>
      </c>
      <c r="AE43" s="923">
        <f>$B$43*Wskazniki!AC42</f>
        <v>0</v>
      </c>
      <c r="AF43" s="923">
        <f>$B$43*Wskazniki!AD42</f>
        <v>0</v>
      </c>
      <c r="AG43" s="923">
        <f>$B$43*Wskazniki!AE42</f>
        <v>0</v>
      </c>
      <c r="AH43" s="923">
        <f>$B$43*Wskazniki!AF42</f>
        <v>0</v>
      </c>
      <c r="AI43" s="923">
        <f>$B$43*Wskazniki!AG42</f>
        <v>0</v>
      </c>
    </row>
    <row r="44" spans="1:36" ht="15" customHeight="1">
      <c r="A44" s="814" t="s">
        <v>531</v>
      </c>
      <c r="B44" s="823">
        <f t="shared" si="18"/>
        <v>0</v>
      </c>
      <c r="C44" s="1115"/>
      <c r="D44" s="824">
        <v>0</v>
      </c>
      <c r="E44" s="824">
        <v>0</v>
      </c>
      <c r="F44" s="960">
        <f>(C38*Wskazniki!D43)+(B44+M44)*Wskazniki!D43</f>
        <v>200.15799999999999</v>
      </c>
      <c r="G44" s="824">
        <v>0</v>
      </c>
      <c r="H44" s="824">
        <v>0</v>
      </c>
      <c r="I44" s="824">
        <v>0</v>
      </c>
      <c r="J44" s="824">
        <v>0</v>
      </c>
      <c r="K44" s="842"/>
      <c r="L44" s="814" t="s">
        <v>531</v>
      </c>
      <c r="M44" s="825">
        <f t="shared" si="19"/>
        <v>0</v>
      </c>
      <c r="N44" s="828">
        <f t="shared" si="22"/>
        <v>0</v>
      </c>
      <c r="O44" s="826">
        <f>'2022 Emisja zaniech'!O44</f>
        <v>0</v>
      </c>
      <c r="Q44" s="906" t="s">
        <v>25</v>
      </c>
      <c r="R44" s="1130" t="s">
        <v>583</v>
      </c>
      <c r="S44" s="1130"/>
      <c r="T44" s="1130"/>
      <c r="U44" s="1130"/>
      <c r="V44" s="1130"/>
      <c r="W44" s="1130"/>
      <c r="X44" s="1130"/>
      <c r="Y44" s="920">
        <f t="shared" si="20"/>
        <v>0</v>
      </c>
      <c r="Z44" s="921" t="s">
        <v>531</v>
      </c>
      <c r="AA44" s="922">
        <f t="shared" si="21"/>
        <v>0</v>
      </c>
      <c r="AB44" s="1146"/>
      <c r="AC44" s="923">
        <v>0</v>
      </c>
      <c r="AD44" s="923">
        <v>0</v>
      </c>
      <c r="AE44" s="923">
        <f>(AB38*Wskazniki!AC43)</f>
        <v>0</v>
      </c>
      <c r="AF44" s="923">
        <v>0</v>
      </c>
      <c r="AG44" s="923">
        <v>0</v>
      </c>
      <c r="AH44" s="923">
        <v>0</v>
      </c>
      <c r="AI44" s="923">
        <v>0</v>
      </c>
    </row>
    <row r="45" spans="1:36" ht="14.25">
      <c r="A45" s="831" t="s">
        <v>588</v>
      </c>
      <c r="B45" s="823">
        <f t="shared" si="18"/>
        <v>0</v>
      </c>
      <c r="C45" s="1115"/>
      <c r="D45" s="824"/>
      <c r="E45" s="824"/>
      <c r="F45" s="824"/>
      <c r="G45" s="824"/>
      <c r="H45" s="824"/>
      <c r="I45" s="824"/>
      <c r="J45" s="824"/>
      <c r="K45" s="842"/>
      <c r="L45" s="814" t="s">
        <v>482</v>
      </c>
      <c r="M45" s="825">
        <f t="shared" si="19"/>
        <v>0</v>
      </c>
      <c r="N45" s="828">
        <f t="shared" si="22"/>
        <v>0</v>
      </c>
      <c r="O45" s="826">
        <f>'2022 Emisja zaniech'!O45</f>
        <v>0</v>
      </c>
      <c r="Q45" s="906"/>
      <c r="R45" s="906" t="s">
        <v>560</v>
      </c>
      <c r="S45" s="906" t="s">
        <v>561</v>
      </c>
      <c r="T45" s="906" t="s">
        <v>599</v>
      </c>
      <c r="U45" s="906" t="s">
        <v>600</v>
      </c>
      <c r="V45" s="906" t="s">
        <v>601</v>
      </c>
      <c r="W45" s="906" t="s">
        <v>602</v>
      </c>
      <c r="X45" s="906" t="s">
        <v>363</v>
      </c>
      <c r="Y45" s="920">
        <f t="shared" si="20"/>
        <v>0</v>
      </c>
      <c r="Z45" s="842" t="str">
        <f>Z29</f>
        <v>kolektory słoneczne</v>
      </c>
      <c r="AA45" s="922">
        <f t="shared" si="21"/>
        <v>0</v>
      </c>
      <c r="AB45" s="1146"/>
      <c r="AC45" s="923"/>
      <c r="AD45" s="923"/>
      <c r="AE45" s="923"/>
      <c r="AF45" s="923"/>
      <c r="AG45" s="923"/>
      <c r="AH45" s="923"/>
      <c r="AI45" s="923"/>
    </row>
    <row r="46" spans="1:36">
      <c r="A46" s="831" t="str">
        <f>L46</f>
        <v>OŹE (pompy ciepła)</v>
      </c>
      <c r="B46" s="823">
        <f t="shared" si="18"/>
        <v>0</v>
      </c>
      <c r="C46" s="1116"/>
      <c r="D46" s="824"/>
      <c r="E46" s="824"/>
      <c r="F46" s="824"/>
      <c r="G46" s="824"/>
      <c r="H46" s="824"/>
      <c r="I46" s="824"/>
      <c r="J46" s="824"/>
      <c r="K46" s="842"/>
      <c r="L46" s="814" t="s">
        <v>589</v>
      </c>
      <c r="M46" s="825">
        <f t="shared" si="19"/>
        <v>0</v>
      </c>
      <c r="N46" s="828">
        <f t="shared" si="22"/>
        <v>0</v>
      </c>
      <c r="O46" s="826">
        <f>'2022 Emisja zaniech'!O46</f>
        <v>0</v>
      </c>
      <c r="Q46" s="850">
        <f>Q38</f>
        <v>2017</v>
      </c>
      <c r="R46" s="846">
        <f>R38</f>
        <v>75.606774481928852</v>
      </c>
      <c r="S46" s="846">
        <f t="shared" ref="S46:X46" si="26">S38</f>
        <v>69.200757745609508</v>
      </c>
      <c r="T46" s="846">
        <f t="shared" si="26"/>
        <v>39083.386234701582</v>
      </c>
      <c r="U46" s="846">
        <f t="shared" si="26"/>
        <v>7.2299904056553649E-2</v>
      </c>
      <c r="V46" s="846">
        <f t="shared" si="26"/>
        <v>228.29864416814203</v>
      </c>
      <c r="W46" s="846">
        <f t="shared" si="26"/>
        <v>47.823747202444515</v>
      </c>
      <c r="X46" s="846">
        <f t="shared" si="26"/>
        <v>512.15341494545373</v>
      </c>
      <c r="Y46" s="920">
        <f t="shared" si="20"/>
        <v>0</v>
      </c>
      <c r="Z46" s="842" t="str">
        <f>Z30</f>
        <v>pompy ciepła</v>
      </c>
      <c r="AA46" s="922">
        <f t="shared" si="21"/>
        <v>0</v>
      </c>
      <c r="AB46" s="1147"/>
      <c r="AC46" s="923"/>
      <c r="AD46" s="923"/>
      <c r="AE46" s="923"/>
      <c r="AF46" s="923"/>
      <c r="AG46" s="923"/>
      <c r="AH46" s="923"/>
      <c r="AI46" s="923"/>
    </row>
    <row r="47" spans="1:36">
      <c r="A47" s="832" t="s">
        <v>590</v>
      </c>
      <c r="B47" s="833">
        <f>SUM(B38:B46)</f>
        <v>9989.9444291430791</v>
      </c>
      <c r="C47" s="834">
        <f>C38</f>
        <v>246.49999999999997</v>
      </c>
      <c r="D47" s="835">
        <f>SUM(D38:D46)</f>
        <v>0.5265762705149577</v>
      </c>
      <c r="E47" s="835">
        <f t="shared" ref="E47:J47" si="27">SUM(E38:E46)</f>
        <v>0.47069523401658436</v>
      </c>
      <c r="F47" s="835">
        <f t="shared" si="27"/>
        <v>487.13537189587771</v>
      </c>
      <c r="G47" s="836">
        <f t="shared" si="27"/>
        <v>6.3763350508239125E-4</v>
      </c>
      <c r="H47" s="835">
        <f t="shared" si="27"/>
        <v>2.2211446913486705</v>
      </c>
      <c r="I47" s="835">
        <f t="shared" si="27"/>
        <v>0.43068640161079241</v>
      </c>
      <c r="J47" s="835">
        <f t="shared" si="27"/>
        <v>4.698397520044165</v>
      </c>
      <c r="K47" s="842"/>
      <c r="L47" s="829"/>
      <c r="M47" s="825">
        <f t="shared" si="19"/>
        <v>0</v>
      </c>
      <c r="N47" s="828">
        <f t="shared" si="22"/>
        <v>0</v>
      </c>
      <c r="O47" s="829"/>
      <c r="Q47" s="850">
        <f>Q39</f>
        <v>2022</v>
      </c>
      <c r="R47" s="846">
        <f>'2022 Emisja opti'!D23+'2022 Emisja opti'!D39+'2022 Emisja opti'!D55+'2022 Emisja opti'!D71</f>
        <v>0.25975535275867989</v>
      </c>
      <c r="S47" s="846">
        <f>'2022 Emisja opti'!E23+'2022 Emisja opti'!E39+'2022 Emisja opti'!E55+'2022 Emisja opti'!E71</f>
        <v>0.35694853145300098</v>
      </c>
      <c r="T47" s="846">
        <f>'2022 Emisja opti'!F23+'2022 Emisja opti'!F39+'2022 Emisja opti'!F55+'2022 Emisja opti'!F71</f>
        <v>0</v>
      </c>
      <c r="U47" s="846">
        <f>'2022 Emisja opti'!G23+'2022 Emisja opti'!G39+'2022 Emisja opti'!G55+'2022 Emisja opti'!G71</f>
        <v>0</v>
      </c>
      <c r="V47" s="846">
        <f>'2022 Emisja opti'!H23+'2022 Emisja opti'!H39+'2022 Emisja opti'!H55+'2022 Emisja opti'!H71</f>
        <v>0</v>
      </c>
      <c r="W47" s="846">
        <f>'2022 Emisja opti'!I23+'2022 Emisja opti'!I39+'2022 Emisja opti'!I55+'2022 Emisja opti'!I71</f>
        <v>0</v>
      </c>
      <c r="X47" s="846">
        <f>'2022 Emisja opti'!J23+'2022 Emisja opti'!J39+'2022 Emisja opti'!J55+'2022 Emisja opti'!J71</f>
        <v>0</v>
      </c>
      <c r="Y47" s="920">
        <f>AA47+B47</f>
        <v>9989.9444291430791</v>
      </c>
      <c r="Z47" s="925" t="s">
        <v>590</v>
      </c>
      <c r="AA47" s="926">
        <f>SUM(AA38:AA46)</f>
        <v>0</v>
      </c>
      <c r="AB47" s="927">
        <f>AB38</f>
        <v>0</v>
      </c>
      <c r="AC47" s="928">
        <f>AC38+AC41+AC42</f>
        <v>0</v>
      </c>
      <c r="AD47" s="928">
        <f t="shared" ref="AD47:AI47" si="28">AD38+AD41+AD42</f>
        <v>0</v>
      </c>
      <c r="AE47" s="928">
        <f t="shared" si="28"/>
        <v>0</v>
      </c>
      <c r="AF47" s="928">
        <f t="shared" si="28"/>
        <v>0</v>
      </c>
      <c r="AG47" s="928">
        <f t="shared" si="28"/>
        <v>0</v>
      </c>
      <c r="AH47" s="928">
        <f t="shared" si="28"/>
        <v>0</v>
      </c>
      <c r="AI47" s="928">
        <f t="shared" si="28"/>
        <v>0</v>
      </c>
    </row>
    <row r="48" spans="1:36">
      <c r="B48" s="837"/>
      <c r="D48" s="838"/>
      <c r="E48" s="838"/>
      <c r="G48" s="838"/>
      <c r="H48" s="838"/>
      <c r="I48" s="838"/>
      <c r="J48" s="838"/>
      <c r="K48" s="842"/>
      <c r="L48" s="829" t="s">
        <v>297</v>
      </c>
      <c r="M48" s="839">
        <f>ZANIECH!R37</f>
        <v>9989.9444291430791</v>
      </c>
      <c r="N48" s="840">
        <f>SUM(N38:N47)</f>
        <v>1</v>
      </c>
      <c r="O48" s="841">
        <f>SUM(O38:O47)</f>
        <v>1</v>
      </c>
      <c r="Q48" s="851" t="s">
        <v>485</v>
      </c>
      <c r="R48" s="849">
        <v>-0.77885188502203462</v>
      </c>
      <c r="S48" s="849">
        <v>-0.77530651011693041</v>
      </c>
      <c r="T48" s="849">
        <v>0.28703428955621973</v>
      </c>
      <c r="U48" s="849">
        <v>-0.8227929259173612</v>
      </c>
      <c r="V48" s="849">
        <v>-0.77005559254863942</v>
      </c>
      <c r="W48" s="849">
        <v>-0.46620952351121497</v>
      </c>
      <c r="X48" s="849">
        <v>-0.83361507209326513</v>
      </c>
      <c r="AA48" s="929"/>
    </row>
    <row r="49" spans="1:36" ht="12.75" customHeight="1">
      <c r="A49" s="1124"/>
      <c r="B49" s="1124"/>
      <c r="C49" s="1124"/>
      <c r="D49" s="1124"/>
      <c r="E49" s="1124"/>
      <c r="F49" s="1124"/>
      <c r="G49" s="1124"/>
      <c r="H49" s="1124"/>
      <c r="I49" s="1124"/>
      <c r="J49" s="1124"/>
      <c r="K49" s="1124"/>
      <c r="L49" s="1124"/>
      <c r="M49" s="1124"/>
      <c r="N49" s="1124"/>
      <c r="O49" s="1124"/>
      <c r="Q49" s="850">
        <f>Q41</f>
        <v>2033</v>
      </c>
      <c r="R49" s="886">
        <f>D64+AC64</f>
        <v>82.883379661303763</v>
      </c>
      <c r="S49" s="886">
        <f t="shared" ref="S49:X49" si="29">E64+AD64</f>
        <v>75.857864973442545</v>
      </c>
      <c r="T49" s="886">
        <f t="shared" si="29"/>
        <v>52960.389706705944</v>
      </c>
      <c r="U49" s="886">
        <f t="shared" si="29"/>
        <v>7.9586912798576964E-2</v>
      </c>
      <c r="V49" s="886">
        <f t="shared" si="29"/>
        <v>249.97833393565116</v>
      </c>
      <c r="W49" s="886">
        <f t="shared" si="29"/>
        <v>49.852728539975331</v>
      </c>
      <c r="X49" s="886">
        <f t="shared" si="29"/>
        <v>560.5034382405222</v>
      </c>
    </row>
    <row r="50" spans="1:36" ht="15">
      <c r="A50" s="1117" t="s">
        <v>326</v>
      </c>
      <c r="B50" s="1117"/>
      <c r="C50" s="1117"/>
      <c r="D50" s="1117"/>
      <c r="E50" s="1117"/>
      <c r="F50" s="1117"/>
      <c r="G50" s="1117"/>
      <c r="H50" s="1117"/>
      <c r="I50" s="1117"/>
      <c r="J50" s="1117"/>
      <c r="K50" s="842"/>
      <c r="Q50" s="852" t="s">
        <v>485</v>
      </c>
      <c r="R50" s="849">
        <v>-1.1188478352756994E-2</v>
      </c>
      <c r="S50" s="849">
        <v>-1.1188478352756994E-2</v>
      </c>
      <c r="T50" s="849">
        <v>-1.1188478352756994E-2</v>
      </c>
      <c r="U50" s="849">
        <v>-1.1188478352756994E-2</v>
      </c>
      <c r="V50" s="849">
        <v>-1.1188478352756994E-2</v>
      </c>
      <c r="W50" s="849">
        <v>-1.1188478352756994E-2</v>
      </c>
      <c r="X50" s="849">
        <v>-1.1188478352756994E-2</v>
      </c>
      <c r="Z50" s="1148" t="s">
        <v>326</v>
      </c>
      <c r="AA50" s="1148"/>
      <c r="AB50" s="1148"/>
      <c r="AC50" s="1148"/>
      <c r="AD50" s="1148"/>
      <c r="AE50" s="1148"/>
      <c r="AF50" s="1148"/>
      <c r="AG50" s="1148"/>
      <c r="AH50" s="1148"/>
      <c r="AI50" s="1148"/>
    </row>
    <row r="51" spans="1:36">
      <c r="A51" s="1118" t="s">
        <v>582</v>
      </c>
      <c r="B51" s="1118"/>
      <c r="C51" s="1118"/>
      <c r="D51" s="1119" t="s">
        <v>583</v>
      </c>
      <c r="E51" s="1119"/>
      <c r="F51" s="1119"/>
      <c r="G51" s="1119"/>
      <c r="H51" s="1119"/>
      <c r="I51" s="1119"/>
      <c r="J51" s="1119"/>
      <c r="K51" s="842"/>
      <c r="Z51" s="1149" t="s">
        <v>582</v>
      </c>
      <c r="AA51" s="1149"/>
      <c r="AB51" s="1149"/>
      <c r="AC51" s="1150" t="s">
        <v>583</v>
      </c>
      <c r="AD51" s="1150"/>
      <c r="AE51" s="1150"/>
      <c r="AF51" s="1150"/>
      <c r="AG51" s="1150"/>
      <c r="AH51" s="1150"/>
      <c r="AI51" s="1150"/>
    </row>
    <row r="52" spans="1:36" s="816" customFormat="1" ht="46.5" customHeight="1">
      <c r="A52" s="1120" t="s">
        <v>516</v>
      </c>
      <c r="B52" s="1122" t="s">
        <v>591</v>
      </c>
      <c r="C52" s="1120" t="s">
        <v>594</v>
      </c>
      <c r="D52" s="1119"/>
      <c r="E52" s="1119"/>
      <c r="F52" s="1119"/>
      <c r="G52" s="1119"/>
      <c r="H52" s="1119"/>
      <c r="I52" s="1119"/>
      <c r="J52" s="1119"/>
      <c r="K52" s="843"/>
      <c r="L52" s="1125" t="s">
        <v>592</v>
      </c>
      <c r="M52" s="1125"/>
      <c r="N52" s="1125"/>
      <c r="O52" s="817" t="s">
        <v>593</v>
      </c>
      <c r="P52" s="818"/>
      <c r="R52" s="917">
        <f>R46</f>
        <v>75.606774481928852</v>
      </c>
      <c r="S52" s="917">
        <f t="shared" ref="S52:X52" si="30">S46</f>
        <v>69.200757745609508</v>
      </c>
      <c r="T52" s="917">
        <f>T46/100</f>
        <v>390.83386234701584</v>
      </c>
      <c r="U52" s="917">
        <f>U46*1000</f>
        <v>72.299904056553643</v>
      </c>
      <c r="V52" s="917">
        <f t="shared" si="30"/>
        <v>228.29864416814203</v>
      </c>
      <c r="W52" s="917">
        <f t="shared" si="30"/>
        <v>47.823747202444515</v>
      </c>
      <c r="X52" s="917">
        <f t="shared" si="30"/>
        <v>512.15341494545373</v>
      </c>
      <c r="Y52" s="843"/>
      <c r="Z52" s="1142" t="s">
        <v>516</v>
      </c>
      <c r="AA52" s="1144" t="s">
        <v>591</v>
      </c>
      <c r="AB52" s="1142" t="s">
        <v>594</v>
      </c>
      <c r="AC52" s="1150"/>
      <c r="AD52" s="1150"/>
      <c r="AE52" s="1150"/>
      <c r="AF52" s="1150"/>
      <c r="AG52" s="1150"/>
      <c r="AH52" s="1150"/>
      <c r="AI52" s="1150"/>
      <c r="AJ52" s="843"/>
    </row>
    <row r="53" spans="1:36" s="816" customFormat="1" ht="14.25" customHeight="1">
      <c r="A53" s="1121"/>
      <c r="B53" s="1122"/>
      <c r="C53" s="1121"/>
      <c r="D53" s="819" t="s">
        <v>560</v>
      </c>
      <c r="E53" s="819" t="s">
        <v>561</v>
      </c>
      <c r="F53" s="819" t="s">
        <v>584</v>
      </c>
      <c r="G53" s="819" t="s">
        <v>461</v>
      </c>
      <c r="H53" s="819" t="s">
        <v>569</v>
      </c>
      <c r="I53" s="820" t="s">
        <v>571</v>
      </c>
      <c r="J53" s="819" t="s">
        <v>363</v>
      </c>
      <c r="K53" s="843"/>
      <c r="L53" s="822" t="s">
        <v>585</v>
      </c>
      <c r="M53" s="822" t="s">
        <v>586</v>
      </c>
      <c r="N53" s="822">
        <v>2020</v>
      </c>
      <c r="O53" s="821">
        <v>2016</v>
      </c>
      <c r="R53" s="917">
        <f>R39</f>
        <v>77.812943005669538</v>
      </c>
      <c r="S53" s="917">
        <f t="shared" ref="S53:X53" si="31">S39</f>
        <v>71.216343651415045</v>
      </c>
      <c r="T53" s="917">
        <f>T39/100</f>
        <v>458.68420481953638</v>
      </c>
      <c r="U53" s="917">
        <f>U39*1000</f>
        <v>74.729333161217099</v>
      </c>
      <c r="V53" s="917">
        <f t="shared" si="31"/>
        <v>234.74849161708616</v>
      </c>
      <c r="W53" s="917">
        <f t="shared" si="31"/>
        <v>46.823917819631589</v>
      </c>
      <c r="X53" s="917">
        <f t="shared" si="31"/>
        <v>526.30569428303477</v>
      </c>
      <c r="Y53" s="843"/>
      <c r="Z53" s="1143"/>
      <c r="AA53" s="1144"/>
      <c r="AB53" s="1143"/>
      <c r="AC53" s="918" t="s">
        <v>560</v>
      </c>
      <c r="AD53" s="918" t="s">
        <v>561</v>
      </c>
      <c r="AE53" s="918" t="s">
        <v>584</v>
      </c>
      <c r="AF53" s="918" t="s">
        <v>461</v>
      </c>
      <c r="AG53" s="918" t="s">
        <v>569</v>
      </c>
      <c r="AH53" s="919" t="s">
        <v>571</v>
      </c>
      <c r="AI53" s="918" t="s">
        <v>363</v>
      </c>
      <c r="AJ53" s="843"/>
    </row>
    <row r="54" spans="1:36" ht="15" customHeight="1">
      <c r="A54" s="814" t="s">
        <v>479</v>
      </c>
      <c r="B54" s="823">
        <f>M54-M54*$D$72</f>
        <v>59366.646522754396</v>
      </c>
      <c r="C54" s="1114">
        <f>'2022 Emisja opti'!C54:C62</f>
        <v>19474.678342160056</v>
      </c>
      <c r="D54" s="824">
        <f>$B$54*Wskazniki!B37</f>
        <v>13.357495467619739</v>
      </c>
      <c r="E54" s="824">
        <f>$B$54*Wskazniki!C37</f>
        <v>11.932695951073635</v>
      </c>
      <c r="F54" s="824">
        <f>$B$54*Wskazniki!D37</f>
        <v>5565.0294450429965</v>
      </c>
      <c r="G54" s="824">
        <f>$B$54*Wskazniki!E37</f>
        <v>1.6028994561143688E-2</v>
      </c>
      <c r="H54" s="824">
        <f>$B$54*Wskazniki!F37</f>
        <v>53.429981870478954</v>
      </c>
      <c r="I54" s="824">
        <f>$B$54*Wskazniki!G37</f>
        <v>9.3799301505951949</v>
      </c>
      <c r="J54" s="824">
        <f>$B$54*Wskazniki!H37</f>
        <v>119.42329430147285</v>
      </c>
      <c r="K54" s="842"/>
      <c r="L54" s="814" t="s">
        <v>479</v>
      </c>
      <c r="M54" s="825">
        <f>N54*$M$64</f>
        <v>59366.646522754396</v>
      </c>
      <c r="N54" s="826">
        <f>100%-N55-N56-N57-N58-N59-N60-N61-N62</f>
        <v>0.73</v>
      </c>
      <c r="O54" s="826">
        <f>'2022 Emisja zaniech'!O54</f>
        <v>0.73</v>
      </c>
      <c r="R54" s="916">
        <f>R49</f>
        <v>82.883379661303763</v>
      </c>
      <c r="S54" s="916">
        <f>S49</f>
        <v>75.857864973442545</v>
      </c>
      <c r="T54" s="916">
        <f>T49/100</f>
        <v>529.60389706705939</v>
      </c>
      <c r="U54" s="916">
        <f>U49*1000</f>
        <v>79.586912798576961</v>
      </c>
      <c r="V54" s="916">
        <f>V49</f>
        <v>249.97833393565116</v>
      </c>
      <c r="W54" s="916">
        <f>W49</f>
        <v>49.852728539975331</v>
      </c>
      <c r="X54" s="916">
        <f>X49</f>
        <v>560.5034382405222</v>
      </c>
      <c r="Y54" s="920">
        <f>AA54+B54</f>
        <v>59366.646522754396</v>
      </c>
      <c r="Z54" s="921" t="s">
        <v>479</v>
      </c>
      <c r="AA54" s="922">
        <f>M54*$D$72</f>
        <v>0</v>
      </c>
      <c r="AB54" s="1145">
        <f>'2022 Emisja opti'!T54:T62</f>
        <v>0</v>
      </c>
      <c r="AC54" s="923">
        <f>$AA$54*Wskazniki!K37</f>
        <v>0</v>
      </c>
      <c r="AD54" s="923">
        <f>$AA$54*Wskazniki!L37</f>
        <v>0</v>
      </c>
      <c r="AE54" s="923">
        <f>$AA$54*Wskazniki!M37</f>
        <v>0</v>
      </c>
      <c r="AF54" s="923">
        <f>$AA$54*Wskazniki!N37</f>
        <v>0</v>
      </c>
      <c r="AG54" s="923">
        <f>$AA$54*Wskazniki!O37</f>
        <v>0</v>
      </c>
      <c r="AH54" s="923">
        <f>$AA$54*Wskazniki!P37</f>
        <v>0</v>
      </c>
      <c r="AI54" s="923">
        <f>$AA$54*Wskazniki!Q37</f>
        <v>0</v>
      </c>
    </row>
    <row r="55" spans="1:36">
      <c r="A55" s="814" t="s">
        <v>480</v>
      </c>
      <c r="B55" s="823">
        <f t="shared" ref="B55:B62" si="32">M55-M55*$D$72</f>
        <v>0</v>
      </c>
      <c r="C55" s="1115"/>
      <c r="D55" s="824">
        <f>Wskazniki!B38*'2032 Emisja zaniech'!$B$55</f>
        <v>0</v>
      </c>
      <c r="E55" s="824">
        <f>Wskazniki!C38*'2032 Emisja zaniech'!$B$55</f>
        <v>0</v>
      </c>
      <c r="F55" s="824">
        <f>Wskazniki!D38*'2032 Emisja zaniech'!$B$55</f>
        <v>0</v>
      </c>
      <c r="G55" s="824">
        <f>Wskazniki!E38*'2032 Emisja zaniech'!$B$55</f>
        <v>0</v>
      </c>
      <c r="H55" s="824">
        <f>Wskazniki!F38*'2032 Emisja zaniech'!$B$55</f>
        <v>0</v>
      </c>
      <c r="I55" s="824">
        <f>Wskazniki!G38*'2032 Emisja zaniech'!$B$55</f>
        <v>0</v>
      </c>
      <c r="J55" s="824">
        <f>Wskazniki!H38*'2032 Emisja zaniech'!$B$55</f>
        <v>0</v>
      </c>
      <c r="K55" s="842"/>
      <c r="L55" s="814" t="str">
        <f>A55</f>
        <v>sieć ciepłownicza</v>
      </c>
      <c r="M55" s="825">
        <f t="shared" ref="M55:M63" si="33">N55*$M$64</f>
        <v>0</v>
      </c>
      <c r="N55" s="828">
        <f>O55</f>
        <v>0</v>
      </c>
      <c r="O55" s="826">
        <f>'2022 Emisja zaniech'!O55</f>
        <v>0</v>
      </c>
      <c r="Y55" s="920">
        <f t="shared" ref="Y55:Y62" si="34">AA55+B55</f>
        <v>0</v>
      </c>
      <c r="Z55" s="921" t="s">
        <v>480</v>
      </c>
      <c r="AA55" s="922">
        <f t="shared" ref="AA55:AA62" si="35">M55*$D$72</f>
        <v>0</v>
      </c>
      <c r="AB55" s="1146"/>
      <c r="AC55" s="923">
        <f>Wskazniki!AA38*'2032 Emisja zaniech'!$B$55</f>
        <v>0</v>
      </c>
      <c r="AD55" s="923">
        <f>Wskazniki!AB38*'2032 Emisja zaniech'!$B$55</f>
        <v>0</v>
      </c>
      <c r="AE55" s="923">
        <f>Wskazniki!AC38*'2032 Emisja zaniech'!$B$55</f>
        <v>0</v>
      </c>
      <c r="AF55" s="923">
        <f>Wskazniki!AD38*'2032 Emisja zaniech'!$B$55</f>
        <v>0</v>
      </c>
      <c r="AG55" s="923">
        <f>Wskazniki!AE38*'2032 Emisja zaniech'!$B$55</f>
        <v>0</v>
      </c>
      <c r="AH55" s="923">
        <f>Wskazniki!AF38*'2032 Emisja zaniech'!$B$55</f>
        <v>0</v>
      </c>
      <c r="AI55" s="923">
        <f>Wskazniki!AG38*'2032 Emisja zaniech'!$B$55</f>
        <v>0</v>
      </c>
    </row>
    <row r="56" spans="1:36" ht="15" customHeight="1">
      <c r="A56" s="814" t="s">
        <v>331</v>
      </c>
      <c r="B56" s="823">
        <f t="shared" si="32"/>
        <v>7319.1755986957478</v>
      </c>
      <c r="C56" s="1115"/>
      <c r="D56" s="824">
        <f>$B$56*Wskazniki!B39</f>
        <v>3.6595877993478737E-3</v>
      </c>
      <c r="E56" s="824">
        <f>$B$56*Wskazniki!C39</f>
        <v>3.6595877993478737E-3</v>
      </c>
      <c r="F56" s="824">
        <f>$B$56*Wskazniki!D39</f>
        <v>408.55638191919667</v>
      </c>
      <c r="G56" s="824">
        <f>$B$56*Wskazniki!E39</f>
        <v>0</v>
      </c>
      <c r="H56" s="824">
        <f>$B$56*Wskazniki!F39</f>
        <v>3.6595877993478737E-3</v>
      </c>
      <c r="I56" s="824">
        <f>$B$56*Wskazniki!G39</f>
        <v>0.36595877993478743</v>
      </c>
      <c r="J56" s="824">
        <f>$B$56*Wskazniki!H39</f>
        <v>5.4893816990218107E-2</v>
      </c>
      <c r="K56" s="842"/>
      <c r="L56" s="814" t="s">
        <v>331</v>
      </c>
      <c r="M56" s="825">
        <f t="shared" si="33"/>
        <v>7319.1755986957478</v>
      </c>
      <c r="N56" s="828">
        <f t="shared" ref="N56:N63" si="36">O56</f>
        <v>0.09</v>
      </c>
      <c r="O56" s="826">
        <f>'2022 Emisja zaniech'!O56</f>
        <v>0.09</v>
      </c>
      <c r="Y56" s="920">
        <f t="shared" si="34"/>
        <v>7319.1755986957478</v>
      </c>
      <c r="Z56" s="921" t="s">
        <v>331</v>
      </c>
      <c r="AA56" s="922">
        <f t="shared" si="35"/>
        <v>0</v>
      </c>
      <c r="AB56" s="1146"/>
      <c r="AC56" s="923">
        <f>$B$56*Wskazniki!AA41</f>
        <v>0</v>
      </c>
      <c r="AD56" s="923">
        <f>$B$56*Wskazniki!AB41</f>
        <v>0</v>
      </c>
      <c r="AE56" s="923">
        <f>$B$56*Wskazniki!AC41</f>
        <v>0</v>
      </c>
      <c r="AF56" s="923">
        <f>$B$56*Wskazniki!AD41</f>
        <v>0</v>
      </c>
      <c r="AG56" s="923">
        <f>$B$56*Wskazniki!AE41</f>
        <v>0</v>
      </c>
      <c r="AH56" s="923">
        <f>$B$56*Wskazniki!AF41</f>
        <v>0</v>
      </c>
      <c r="AI56" s="923">
        <f>$B$56*Wskazniki!AG41</f>
        <v>0</v>
      </c>
    </row>
    <row r="57" spans="1:36">
      <c r="A57" s="814" t="s">
        <v>335</v>
      </c>
      <c r="B57" s="823">
        <f t="shared" si="32"/>
        <v>6505.9338655073316</v>
      </c>
      <c r="C57" s="1115"/>
      <c r="D57" s="824">
        <f>$B$57*Wskazniki!B40</f>
        <v>3.1228482554435191</v>
      </c>
      <c r="E57" s="824">
        <f>$B$57*Wskazniki!C40</f>
        <v>3.0577889167884456</v>
      </c>
      <c r="F57" s="824">
        <f>$B$57*Wskazniki!D40</f>
        <v>0</v>
      </c>
      <c r="G57" s="824">
        <f>$B$57*Wskazniki!E40</f>
        <v>7.8721799772638718E-4</v>
      </c>
      <c r="H57" s="824">
        <f>$B$57*Wskazniki!F40</f>
        <v>7.1565272520580647E-2</v>
      </c>
      <c r="I57" s="824">
        <f>$B$57*Wskazniki!G40</f>
        <v>0.52047470924058659</v>
      </c>
      <c r="J57" s="824">
        <f>$B$57*Wskazniki!H40</f>
        <v>1.1671645354720153</v>
      </c>
      <c r="K57" s="842"/>
      <c r="L57" s="814" t="s">
        <v>335</v>
      </c>
      <c r="M57" s="825">
        <f t="shared" si="33"/>
        <v>6505.9338655073316</v>
      </c>
      <c r="N57" s="828">
        <f t="shared" si="36"/>
        <v>0.08</v>
      </c>
      <c r="O57" s="826">
        <f>'2022 Emisja zaniech'!O57</f>
        <v>0.08</v>
      </c>
      <c r="Y57" s="920">
        <f t="shared" si="34"/>
        <v>6505.9338655073316</v>
      </c>
      <c r="Z57" s="921" t="s">
        <v>335</v>
      </c>
      <c r="AA57" s="922">
        <f t="shared" si="35"/>
        <v>0</v>
      </c>
      <c r="AB57" s="1146"/>
      <c r="AC57" s="923">
        <f>$AA$57*Wskazniki!K40</f>
        <v>0</v>
      </c>
      <c r="AD57" s="923">
        <f>$AA$57*Wskazniki!L40</f>
        <v>0</v>
      </c>
      <c r="AE57" s="923">
        <f>$AA$57*Wskazniki!M40</f>
        <v>0</v>
      </c>
      <c r="AF57" s="923">
        <f>$AA$57*Wskazniki!N40</f>
        <v>0</v>
      </c>
      <c r="AG57" s="923">
        <f>$AA$57*Wskazniki!O40</f>
        <v>0</v>
      </c>
      <c r="AH57" s="923">
        <f>$AA$57*Wskazniki!P40</f>
        <v>0</v>
      </c>
      <c r="AI57" s="923">
        <f>$AA$57*Wskazniki!Q40</f>
        <v>0</v>
      </c>
    </row>
    <row r="58" spans="1:36">
      <c r="A58" s="814" t="s">
        <v>337</v>
      </c>
      <c r="B58" s="823">
        <f t="shared" si="32"/>
        <v>3740.9119726667163</v>
      </c>
      <c r="C58" s="1115"/>
      <c r="D58" s="824">
        <f>$B$58*Wskazniki!B41</f>
        <v>1.795637746880024</v>
      </c>
      <c r="E58" s="824">
        <f>$B$58*Wskazniki!C41</f>
        <v>1.7582286271533567</v>
      </c>
      <c r="F58" s="824">
        <f>$B$58*Wskazniki!D41</f>
        <v>0</v>
      </c>
      <c r="G58" s="824">
        <f>$B$58*Wskazniki!E41</f>
        <v>4.5265034869267274E-4</v>
      </c>
      <c r="H58" s="824">
        <f>$B$58*Wskazniki!F41</f>
        <v>4.1150031699333879E-2</v>
      </c>
      <c r="I58" s="824">
        <f>$B$58*Wskazniki!G41</f>
        <v>0.29927295781333735</v>
      </c>
      <c r="J58" s="824">
        <f>$B$58*Wskazniki!H41</f>
        <v>0.6711196078964089</v>
      </c>
      <c r="K58" s="842"/>
      <c r="L58" s="814" t="s">
        <v>337</v>
      </c>
      <c r="M58" s="825">
        <f t="shared" si="33"/>
        <v>3740.9119726667163</v>
      </c>
      <c r="N58" s="828">
        <f t="shared" si="36"/>
        <v>4.6000000000000013E-2</v>
      </c>
      <c r="O58" s="826">
        <f>'2022 Emisja zaniech'!O58</f>
        <v>4.6000000000000013E-2</v>
      </c>
      <c r="Y58" s="920">
        <f t="shared" si="34"/>
        <v>3740.9119726667163</v>
      </c>
      <c r="Z58" s="921" t="s">
        <v>337</v>
      </c>
      <c r="AA58" s="922">
        <f t="shared" si="35"/>
        <v>0</v>
      </c>
      <c r="AB58" s="1146"/>
      <c r="AC58" s="923">
        <f>$AA$58*Wskazniki!K41</f>
        <v>0</v>
      </c>
      <c r="AD58" s="923">
        <f>$AA$58*Wskazniki!L41</f>
        <v>0</v>
      </c>
      <c r="AE58" s="923">
        <f>$AA$58*Wskazniki!M41</f>
        <v>0</v>
      </c>
      <c r="AF58" s="923">
        <f>$AA$58*Wskazniki!N41</f>
        <v>0</v>
      </c>
      <c r="AG58" s="923">
        <f>$AA$58*Wskazniki!O41</f>
        <v>0</v>
      </c>
      <c r="AH58" s="923">
        <f>$AA$58*Wskazniki!P41</f>
        <v>0</v>
      </c>
      <c r="AI58" s="923">
        <f>$AA$58*Wskazniki!Q41</f>
        <v>0</v>
      </c>
    </row>
    <row r="59" spans="1:36">
      <c r="A59" s="814" t="s">
        <v>338</v>
      </c>
      <c r="B59" s="823">
        <f t="shared" si="32"/>
        <v>3252.9669327536658</v>
      </c>
      <c r="C59" s="1115"/>
      <c r="D59" s="824">
        <f>$B$59*Wskazniki!B42</f>
        <v>9.7589007982609981E-3</v>
      </c>
      <c r="E59" s="824">
        <f>$B$59*Wskazniki!C42</f>
        <v>9.7589007982609981E-3</v>
      </c>
      <c r="F59" s="824">
        <f>$B$59*Wskazniki!D42</f>
        <v>249.14473737960327</v>
      </c>
      <c r="G59" s="824">
        <f>$B$59*Wskazniki!E42</f>
        <v>3.252966932753666E-5</v>
      </c>
      <c r="H59" s="824">
        <f>$B$59*Wskazniki!F42</f>
        <v>0.45541537058551318</v>
      </c>
      <c r="I59" s="824">
        <f>$B$59*Wskazniki!G42</f>
        <v>0.22770768529275659</v>
      </c>
      <c r="J59" s="824">
        <f>$B$59*Wskazniki!H42</f>
        <v>5.2872273475419868E-2</v>
      </c>
      <c r="K59" s="842"/>
      <c r="L59" s="814" t="s">
        <v>587</v>
      </c>
      <c r="M59" s="825">
        <f t="shared" si="33"/>
        <v>3252.9669327536658</v>
      </c>
      <c r="N59" s="828">
        <f t="shared" si="36"/>
        <v>0.04</v>
      </c>
      <c r="O59" s="826">
        <f>'2022 Emisja zaniech'!O59</f>
        <v>0.04</v>
      </c>
      <c r="Y59" s="920">
        <f t="shared" si="34"/>
        <v>3252.9669327536658</v>
      </c>
      <c r="Z59" s="921" t="s">
        <v>338</v>
      </c>
      <c r="AA59" s="922">
        <f t="shared" si="35"/>
        <v>0</v>
      </c>
      <c r="AB59" s="1146"/>
      <c r="AC59" s="923">
        <f>$B$59*Wskazniki!AA42</f>
        <v>0</v>
      </c>
      <c r="AD59" s="923">
        <f>$B$59*Wskazniki!AB42</f>
        <v>0</v>
      </c>
      <c r="AE59" s="923">
        <f>$B$59*Wskazniki!AC42</f>
        <v>0</v>
      </c>
      <c r="AF59" s="923">
        <f>$B$59*Wskazniki!AD42</f>
        <v>0</v>
      </c>
      <c r="AG59" s="923">
        <f>$B$59*Wskazniki!AE42</f>
        <v>0</v>
      </c>
      <c r="AH59" s="923">
        <f>$B$59*Wskazniki!AF42</f>
        <v>0</v>
      </c>
      <c r="AI59" s="923">
        <f>$B$59*Wskazniki!AG42</f>
        <v>0</v>
      </c>
    </row>
    <row r="60" spans="1:36" ht="15" customHeight="1">
      <c r="A60" s="814" t="s">
        <v>531</v>
      </c>
      <c r="B60" s="823">
        <f t="shared" si="32"/>
        <v>813.24173318841645</v>
      </c>
      <c r="C60" s="1115"/>
      <c r="D60" s="824">
        <v>0</v>
      </c>
      <c r="E60" s="824">
        <v>0</v>
      </c>
      <c r="F60" s="824">
        <f>(C54*Wskazniki!D43)+(B60+M60)*Wskazniki!D43</f>
        <v>17134.143388531953</v>
      </c>
      <c r="G60" s="824">
        <v>0</v>
      </c>
      <c r="H60" s="824">
        <v>0</v>
      </c>
      <c r="I60" s="824">
        <v>0</v>
      </c>
      <c r="J60" s="824">
        <v>0</v>
      </c>
      <c r="K60" s="842"/>
      <c r="L60" s="814" t="s">
        <v>531</v>
      </c>
      <c r="M60" s="825">
        <f t="shared" si="33"/>
        <v>813.24173318841645</v>
      </c>
      <c r="N60" s="828">
        <f t="shared" si="36"/>
        <v>0.01</v>
      </c>
      <c r="O60" s="826">
        <f>'2022 Emisja zaniech'!O60</f>
        <v>0.01</v>
      </c>
      <c r="Y60" s="920">
        <f t="shared" si="34"/>
        <v>813.24173318841645</v>
      </c>
      <c r="Z60" s="921" t="s">
        <v>531</v>
      </c>
      <c r="AA60" s="922">
        <f t="shared" si="35"/>
        <v>0</v>
      </c>
      <c r="AB60" s="1146"/>
      <c r="AC60" s="923">
        <v>0</v>
      </c>
      <c r="AD60" s="923">
        <v>0</v>
      </c>
      <c r="AE60" s="923">
        <f>(AB54*Wskazniki!AC59)</f>
        <v>0</v>
      </c>
      <c r="AF60" s="923">
        <v>0</v>
      </c>
      <c r="AG60" s="923">
        <v>0</v>
      </c>
      <c r="AH60" s="923">
        <v>0</v>
      </c>
      <c r="AI60" s="923">
        <v>0</v>
      </c>
    </row>
    <row r="61" spans="1:36">
      <c r="A61" s="831" t="s">
        <v>588</v>
      </c>
      <c r="B61" s="823">
        <f t="shared" si="32"/>
        <v>325.29669327536658</v>
      </c>
      <c r="C61" s="1115"/>
      <c r="D61" s="824"/>
      <c r="E61" s="824"/>
      <c r="F61" s="824"/>
      <c r="G61" s="824"/>
      <c r="H61" s="824"/>
      <c r="I61" s="824"/>
      <c r="J61" s="824"/>
      <c r="K61" s="842"/>
      <c r="L61" s="814" t="s">
        <v>482</v>
      </c>
      <c r="M61" s="825">
        <f t="shared" si="33"/>
        <v>325.29669327536658</v>
      </c>
      <c r="N61" s="828">
        <f t="shared" si="36"/>
        <v>4.0000000000000001E-3</v>
      </c>
      <c r="O61" s="826">
        <f>'2022 Emisja zaniech'!O61</f>
        <v>4.0000000000000001E-3</v>
      </c>
      <c r="Y61" s="920">
        <f t="shared" si="34"/>
        <v>325.29669327536658</v>
      </c>
      <c r="Z61" s="924" t="s">
        <v>588</v>
      </c>
      <c r="AA61" s="922">
        <f t="shared" si="35"/>
        <v>0</v>
      </c>
      <c r="AB61" s="1146"/>
      <c r="AC61" s="923"/>
      <c r="AD61" s="923"/>
      <c r="AE61" s="923"/>
      <c r="AF61" s="923"/>
      <c r="AG61" s="923"/>
      <c r="AH61" s="923"/>
      <c r="AI61" s="923"/>
    </row>
    <row r="62" spans="1:36">
      <c r="A62" s="831" t="str">
        <f>L62</f>
        <v>OŹE (pompy ciepła)</v>
      </c>
      <c r="B62" s="823">
        <f t="shared" si="32"/>
        <v>0</v>
      </c>
      <c r="C62" s="1116"/>
      <c r="D62" s="824"/>
      <c r="E62" s="824"/>
      <c r="F62" s="824"/>
      <c r="G62" s="824"/>
      <c r="H62" s="824"/>
      <c r="I62" s="824"/>
      <c r="J62" s="824"/>
      <c r="K62" s="842"/>
      <c r="L62" s="814" t="s">
        <v>589</v>
      </c>
      <c r="M62" s="825">
        <f t="shared" si="33"/>
        <v>0</v>
      </c>
      <c r="N62" s="828">
        <f t="shared" si="36"/>
        <v>0</v>
      </c>
      <c r="O62" s="826">
        <f>'2022 Emisja zaniech'!O62</f>
        <v>0</v>
      </c>
      <c r="Y62" s="920">
        <f t="shared" si="34"/>
        <v>0</v>
      </c>
      <c r="Z62" s="924" t="str">
        <f>Z46</f>
        <v>pompy ciepła</v>
      </c>
      <c r="AA62" s="922">
        <f t="shared" si="35"/>
        <v>0</v>
      </c>
      <c r="AB62" s="1147"/>
      <c r="AC62" s="923"/>
      <c r="AD62" s="923"/>
      <c r="AE62" s="923"/>
      <c r="AF62" s="923"/>
      <c r="AG62" s="923"/>
      <c r="AH62" s="923"/>
      <c r="AI62" s="923"/>
    </row>
    <row r="63" spans="1:36">
      <c r="A63" s="832" t="s">
        <v>590</v>
      </c>
      <c r="B63" s="833">
        <f>SUM(B54:B62)</f>
        <v>81324.17331884164</v>
      </c>
      <c r="C63" s="834">
        <f>C54</f>
        <v>19474.678342160056</v>
      </c>
      <c r="D63" s="835">
        <f>SUM(D54:D62)</f>
        <v>18.289399958540891</v>
      </c>
      <c r="E63" s="835">
        <f t="shared" ref="E63:J63" si="37">SUM(E54:E62)</f>
        <v>16.762131983613045</v>
      </c>
      <c r="F63" s="835">
        <f t="shared" si="37"/>
        <v>23356.87395287375</v>
      </c>
      <c r="G63" s="836">
        <f t="shared" si="37"/>
        <v>1.7301392576890288E-2</v>
      </c>
      <c r="H63" s="835">
        <f t="shared" si="37"/>
        <v>54.001772133083726</v>
      </c>
      <c r="I63" s="835">
        <f t="shared" si="37"/>
        <v>10.793344282876664</v>
      </c>
      <c r="J63" s="835">
        <f t="shared" si="37"/>
        <v>121.36934453530691</v>
      </c>
      <c r="K63" s="842"/>
      <c r="L63" s="829"/>
      <c r="M63" s="825">
        <f t="shared" si="33"/>
        <v>0</v>
      </c>
      <c r="N63" s="828">
        <f t="shared" si="36"/>
        <v>0</v>
      </c>
      <c r="O63" s="829"/>
      <c r="Y63" s="920">
        <f>AA63+B63</f>
        <v>81324.17331884164</v>
      </c>
      <c r="Z63" s="925" t="s">
        <v>590</v>
      </c>
      <c r="AA63" s="926">
        <f>SUM(AA54:AA62)</f>
        <v>0</v>
      </c>
      <c r="AB63" s="927">
        <f>AB54</f>
        <v>0</v>
      </c>
      <c r="AC63" s="928">
        <f>AC54+AC57+AC58</f>
        <v>0</v>
      </c>
      <c r="AD63" s="928">
        <f t="shared" ref="AD63:AI63" si="38">AD54+AD57+AD58</f>
        <v>0</v>
      </c>
      <c r="AE63" s="928">
        <f t="shared" si="38"/>
        <v>0</v>
      </c>
      <c r="AF63" s="928">
        <f t="shared" si="38"/>
        <v>0</v>
      </c>
      <c r="AG63" s="928">
        <f t="shared" si="38"/>
        <v>0</v>
      </c>
      <c r="AH63" s="928">
        <f t="shared" si="38"/>
        <v>0</v>
      </c>
      <c r="AI63" s="928">
        <f t="shared" si="38"/>
        <v>0</v>
      </c>
    </row>
    <row r="64" spans="1:36">
      <c r="B64" s="837"/>
      <c r="D64" s="838">
        <f>D63+D47+D31+D15</f>
        <v>82.883379661303763</v>
      </c>
      <c r="E64" s="838">
        <f t="shared" ref="E64:J64" si="39">E63+E47+E31+E15</f>
        <v>75.857864973442545</v>
      </c>
      <c r="F64" s="838">
        <f t="shared" si="39"/>
        <v>52960.389706705944</v>
      </c>
      <c r="G64" s="838">
        <f t="shared" si="39"/>
        <v>7.9586912798576964E-2</v>
      </c>
      <c r="H64" s="838">
        <f t="shared" si="39"/>
        <v>249.97833393565116</v>
      </c>
      <c r="I64" s="838">
        <f t="shared" si="39"/>
        <v>49.852728539975331</v>
      </c>
      <c r="J64" s="838">
        <f t="shared" si="39"/>
        <v>560.5034382405222</v>
      </c>
      <c r="K64" s="842"/>
      <c r="L64" s="829" t="s">
        <v>297</v>
      </c>
      <c r="M64" s="839">
        <f>ZANIECH!R43</f>
        <v>81324.17331884164</v>
      </c>
      <c r="N64" s="840">
        <f>SUM(N54:N63)</f>
        <v>1</v>
      </c>
      <c r="O64" s="841">
        <f>SUM(O54:O63)</f>
        <v>1</v>
      </c>
      <c r="AA64" s="929"/>
      <c r="AC64" s="930">
        <f>AC63+AC47+AC31+AC15</f>
        <v>0</v>
      </c>
      <c r="AD64" s="930">
        <f t="shared" ref="AD64:AI64" si="40">AD63+AD47+AD31+AD15</f>
        <v>0</v>
      </c>
      <c r="AE64" s="930">
        <f t="shared" si="40"/>
        <v>0</v>
      </c>
      <c r="AF64" s="930">
        <f t="shared" si="40"/>
        <v>0</v>
      </c>
      <c r="AG64" s="930">
        <f t="shared" si="40"/>
        <v>0</v>
      </c>
      <c r="AH64" s="930">
        <f t="shared" si="40"/>
        <v>0</v>
      </c>
      <c r="AI64" s="930">
        <f t="shared" si="40"/>
        <v>0</v>
      </c>
    </row>
    <row r="65" spans="1:22">
      <c r="A65" s="1124"/>
      <c r="B65" s="1124"/>
      <c r="C65" s="1124"/>
      <c r="D65" s="1124"/>
      <c r="E65" s="1124"/>
      <c r="F65" s="1124"/>
      <c r="G65" s="1124"/>
      <c r="H65" s="1124"/>
      <c r="I65" s="1124"/>
      <c r="J65" s="1124"/>
      <c r="K65" s="1124"/>
      <c r="L65" s="1124"/>
      <c r="M65" s="1124"/>
      <c r="N65" s="1124"/>
      <c r="O65" s="1124"/>
    </row>
    <row r="66" spans="1:22">
      <c r="L66" s="908" t="s">
        <v>637</v>
      </c>
      <c r="M66" s="907">
        <f>M64+M48+M32+M16</f>
        <v>380504.99371410144</v>
      </c>
      <c r="N66" s="907">
        <f>ZANIECH!F91</f>
        <v>380504.9937141015</v>
      </c>
    </row>
    <row r="67" spans="1:22" ht="15">
      <c r="A67" s="1117" t="s">
        <v>603</v>
      </c>
      <c r="B67" s="1117"/>
      <c r="C67" s="1117"/>
      <c r="D67" s="1117"/>
      <c r="E67" s="1117"/>
      <c r="F67" s="1117"/>
      <c r="G67" s="1117"/>
      <c r="H67" s="1117"/>
      <c r="I67" s="1117"/>
      <c r="J67" s="1117"/>
      <c r="M67" s="907">
        <f>M66-N66</f>
        <v>0</v>
      </c>
    </row>
    <row r="68" spans="1:22" ht="56.25">
      <c r="A68" s="829"/>
      <c r="B68" s="848" t="s">
        <v>479</v>
      </c>
      <c r="C68" s="848" t="s">
        <v>604</v>
      </c>
      <c r="D68" s="878" t="s">
        <v>630</v>
      </c>
      <c r="E68" s="867" t="s">
        <v>623</v>
      </c>
      <c r="F68" s="815" t="s">
        <v>625</v>
      </c>
      <c r="V68" s="907"/>
    </row>
    <row r="69" spans="1:22" ht="14.25">
      <c r="A69" s="829" t="s">
        <v>426</v>
      </c>
      <c r="B69" s="853">
        <f>N6</f>
        <v>-2.2551405187698492E-17</v>
      </c>
      <c r="C69" s="853">
        <f>(N9+N10)</f>
        <v>0</v>
      </c>
      <c r="D69" s="931">
        <v>0</v>
      </c>
      <c r="E69" s="933">
        <f>OPTI!T49</f>
        <v>5.6603773584905669E-2</v>
      </c>
    </row>
    <row r="70" spans="1:22" ht="14.25">
      <c r="A70" s="829" t="s">
        <v>50</v>
      </c>
      <c r="B70" s="853">
        <f>N22</f>
        <v>0.76</v>
      </c>
      <c r="C70" s="853">
        <f>(N25+N26)</f>
        <v>0.12014629308671164</v>
      </c>
      <c r="D70" s="931">
        <v>0</v>
      </c>
      <c r="E70" s="933">
        <f>OPTI!T31</f>
        <v>0.17355371900826441</v>
      </c>
    </row>
    <row r="71" spans="1:22" ht="14.25">
      <c r="A71" s="829" t="s">
        <v>29</v>
      </c>
      <c r="B71" s="853">
        <f>N38</f>
        <v>0.23307201929703647</v>
      </c>
      <c r="C71" s="853">
        <f>(N41+N42)</f>
        <v>0</v>
      </c>
      <c r="D71" s="931">
        <v>0</v>
      </c>
      <c r="E71" s="933">
        <f>OPTI!T40</f>
        <v>0.42584690308303674</v>
      </c>
    </row>
    <row r="72" spans="1:22" ht="14.25">
      <c r="A72" s="829" t="s">
        <v>412</v>
      </c>
      <c r="B72" s="853">
        <f>N54</f>
        <v>0.73</v>
      </c>
      <c r="C72" s="853">
        <f>(N57+N58)</f>
        <v>0.126</v>
      </c>
      <c r="D72" s="931">
        <v>0</v>
      </c>
      <c r="E72" s="933">
        <f>OPTI!T43</f>
        <v>0.21259842519685038</v>
      </c>
    </row>
    <row r="74" spans="1:22" ht="12.75">
      <c r="A74" s="829" t="s">
        <v>426</v>
      </c>
      <c r="B74" s="498">
        <f>B84*(1-(B69*((1-B81)+E69*(1-B81)))-C69*((1-B82)+E69*(1-B82)))</f>
        <v>1.1429336940747801E-2</v>
      </c>
      <c r="C74" s="498">
        <f>C84*(1-(B69*((1-C81)+E69*(1-C81)))-C69*((1-C82)+E69*(1-C82)))</f>
        <v>1.1429336940747806E-2</v>
      </c>
      <c r="D74" s="869">
        <f>D84</f>
        <v>656.60912066776632</v>
      </c>
      <c r="E74" s="498">
        <f>E84*(1-(B69*((1-E81)+E69*(1-E81)))-C69*((1-E82)+E69*(1-E82)))</f>
        <v>3.4613056764499746E-5</v>
      </c>
      <c r="F74" s="498">
        <f>F84*(1-(B69*((1-F81)+E69*(1-F81)))-C69*((1-F82)+E69*(1-F82)))</f>
        <v>0.48562821461439493</v>
      </c>
      <c r="G74" s="498">
        <f>G84*(1-(B69*((1-G81)+E69*(1-G81)))-C69*((1-G82)+E69*(1-G82)))</f>
        <v>0.34683338849128931</v>
      </c>
      <c r="H74" s="498">
        <f>H84*(1-(B69*((1-H81)+E69*(1-H81)))-C69*((1-H82)+E69*(1-H82)))</f>
        <v>7.1939817152854302E-2</v>
      </c>
    </row>
    <row r="75" spans="1:22" ht="12.75">
      <c r="A75" s="829" t="s">
        <v>50</v>
      </c>
      <c r="B75" s="498">
        <f>B85*(1-(B70*((1-B81)+E70*(1-B81)))-C70*((1-B82)+E70*(1-B82)))</f>
        <v>18.337989004182404</v>
      </c>
      <c r="C75" s="498">
        <f>C85*(1-(B70*((1-C81)+E70*(1-C81)))-C70*((1-C82)+E70*(1-C82)))</f>
        <v>16.85804403615888</v>
      </c>
      <c r="D75" s="869">
        <f>D85</f>
        <v>28459.771261268554</v>
      </c>
      <c r="E75" s="498">
        <f>E85*(1-(B70*((1-E81)+E70*(1-E81)))-C70*((1-E82)+E70*(1-E82)))</f>
        <v>-1.2929701980073892E-3</v>
      </c>
      <c r="F75" s="498">
        <f>F85*(1-(B70*((1-F81)+E70*(1-F81)))-C70*((1-F82)+E70*(1-F82)))</f>
        <v>107.08104667461454</v>
      </c>
      <c r="G75" s="498">
        <f>G85*(1-(B70*((1-G81)+E70*(1-G81)))-C70*((1-G82)+E70*(1-G82)))</f>
        <v>40.536736582040447</v>
      </c>
      <c r="H75" s="498">
        <f>H85*(1-(B70*((1-H81)+E70*(1-H81)))-C70*((1-H82)+E70*(1-H82)))</f>
        <v>210.0368212331779</v>
      </c>
    </row>
    <row r="76" spans="1:22" ht="12.75">
      <c r="A76" s="829" t="s">
        <v>29</v>
      </c>
      <c r="B76" s="498">
        <f>B86*(1-(B71*((1-B81)+E71*(1-B81)))-C71*((1-B82)+E71*(1-B82)))</f>
        <v>0.41224655141947991</v>
      </c>
      <c r="C76" s="498">
        <f>C86*(1-(B71*((1-C81)+E71*(1-C81)))-C71*((1-C82)+E71*(1-C82)))</f>
        <v>0.36874738321993922</v>
      </c>
      <c r="D76" s="869">
        <f>D86</f>
        <v>487.13537189587771</v>
      </c>
      <c r="E76" s="498">
        <f>E86*(1-(B71*((1-E81)+E71*(1-E81)))-C71*((1-E82)+E71*(1-E82)))</f>
        <v>4.2579394055189266E-4</v>
      </c>
      <c r="F76" s="498">
        <f>F86*(1-(B71*((1-F81)+E71*(1-F81)))-C71*((1-F82)+E71*(1-F82)))</f>
        <v>1.8520737177926807</v>
      </c>
      <c r="G76" s="498">
        <f>G86*(1-(B71*((1-G81)+E71*(1-G81)))-C71*((1-G82)+E71*(1-G82)))</f>
        <v>0.43702750958476366</v>
      </c>
      <c r="H76" s="498">
        <f>H86*(1-(B71*((1-H81)+E71*(1-H81)))-C71*((1-H82)+E71*(1-H82)))</f>
        <v>3.9177000023949007</v>
      </c>
    </row>
    <row r="77" spans="1:22" ht="12.75">
      <c r="A77" s="829" t="s">
        <v>412</v>
      </c>
      <c r="B77" s="498">
        <f>B87*(1-(B72*((1-B81)+E72*(1-B81)))-C72*((1-B82)+E72*(1-B82)))</f>
        <v>5.1156627774062455</v>
      </c>
      <c r="C77" s="498">
        <f>C87*(1-(B72*((1-C81)+E72*(1-C81)))-C72*((1-C82)+E72*(1-C82)))</f>
        <v>4.7105091508919958</v>
      </c>
      <c r="D77" s="869">
        <f>D87</f>
        <v>23356.87395287375</v>
      </c>
      <c r="E77" s="498">
        <f>E87*(1-(B72*((1-E81)+E72*(1-E81)))-C72*((1-E82)+E72*(1-E82)))</f>
        <v>-4.342336718227666E-4</v>
      </c>
      <c r="F77" s="498">
        <f>F87*(1-(B72*((1-F81)+E72*(1-F81)))-C72*((1-F82)+E72*(1-F82)))</f>
        <v>30.100672829141704</v>
      </c>
      <c r="G77" s="498">
        <f>G87*(1-(B72*((1-G81)+E72*(1-G81)))-C72*((1-G82)+E72*(1-G82)))</f>
        <v>11.443382613374411</v>
      </c>
      <c r="H77" s="498">
        <f>H87*(1-(B72*((1-H81)+E72*(1-H81)))-C72*((1-H82)+E72*(1-H82)))</f>
        <v>58.379610385612814</v>
      </c>
    </row>
    <row r="78" spans="1:22" ht="12.75">
      <c r="A78" s="829" t="s">
        <v>220</v>
      </c>
      <c r="B78" s="829">
        <f>SUM(B74:B77)</f>
        <v>23.877327669948876</v>
      </c>
      <c r="C78" s="829">
        <f t="shared" ref="C78:H78" si="41">SUM(C74:C77)</f>
        <v>21.948729907211565</v>
      </c>
      <c r="D78" s="869">
        <f t="shared" si="41"/>
        <v>52960.389706705944</v>
      </c>
      <c r="E78" s="829">
        <f t="shared" si="41"/>
        <v>-1.2667968725137632E-3</v>
      </c>
      <c r="F78" s="829">
        <f t="shared" si="41"/>
        <v>139.51942143616333</v>
      </c>
      <c r="G78" s="829">
        <f t="shared" si="41"/>
        <v>52.763980093490915</v>
      </c>
      <c r="H78" s="829">
        <f t="shared" si="41"/>
        <v>272.40607143833847</v>
      </c>
    </row>
    <row r="80" spans="1:22" ht="14.25">
      <c r="B80" s="855" t="s">
        <v>560</v>
      </c>
      <c r="C80" s="855" t="s">
        <v>561</v>
      </c>
      <c r="D80" s="855" t="s">
        <v>599</v>
      </c>
      <c r="E80" s="855" t="s">
        <v>600</v>
      </c>
      <c r="F80" s="855" t="s">
        <v>601</v>
      </c>
      <c r="G80" s="855" t="s">
        <v>602</v>
      </c>
      <c r="H80" s="856" t="s">
        <v>363</v>
      </c>
    </row>
    <row r="81" spans="1:8" ht="15">
      <c r="A81" s="815" t="s">
        <v>342</v>
      </c>
      <c r="B81" s="857">
        <f>Wskazniki!D50/Wskazniki!C50</f>
        <v>0.34666666666666668</v>
      </c>
      <c r="C81" s="858">
        <f>Wskazniki!D51/Wskazniki!C51</f>
        <v>0.34825870646766172</v>
      </c>
      <c r="D81" s="857">
        <f>Wskazniki!D52/Wskazniki!C52</f>
        <v>1</v>
      </c>
      <c r="E81" s="857">
        <f>Wskazniki!D53/Wskazniki!C53</f>
        <v>2.9259259259259261E-4</v>
      </c>
      <c r="F81" s="857">
        <f>Wskazniki!D54/Wskazniki!C54</f>
        <v>0.5</v>
      </c>
      <c r="G81" s="857">
        <f>Wskazniki!D55/Wskazniki!C55</f>
        <v>1.0443037974683544</v>
      </c>
      <c r="H81" s="859">
        <v>0.5</v>
      </c>
    </row>
    <row r="82" spans="1:8" ht="14.25">
      <c r="A82" s="815" t="s">
        <v>335</v>
      </c>
      <c r="B82" s="857">
        <f>Wskazniki!H50/Wskazniki!G50</f>
        <v>7.0833333333333331E-2</v>
      </c>
      <c r="C82" s="857">
        <f>Wskazniki!H51/Wskazniki!G51</f>
        <v>7.0212765957446813E-2</v>
      </c>
      <c r="D82" s="857">
        <v>1</v>
      </c>
      <c r="E82" s="857">
        <f>Wskazniki!H53/Wskazniki!G53</f>
        <v>8.2644628099173556E-2</v>
      </c>
      <c r="F82" s="857">
        <f>Wskazniki!H54/Wskazniki!G54</f>
        <v>1</v>
      </c>
      <c r="G82" s="857">
        <f>Wskazniki!H55/Wskazniki!G55</f>
        <v>1.1375</v>
      </c>
      <c r="H82" s="859">
        <v>0.5</v>
      </c>
    </row>
    <row r="84" spans="1:8">
      <c r="A84" s="829" t="s">
        <v>426</v>
      </c>
      <c r="B84" s="868">
        <f t="shared" ref="B84:H84" si="42">D15</f>
        <v>1.1429336940747801E-2</v>
      </c>
      <c r="C84" s="868">
        <f t="shared" si="42"/>
        <v>1.1429336940747806E-2</v>
      </c>
      <c r="D84" s="868">
        <f t="shared" si="42"/>
        <v>656.60912066776632</v>
      </c>
      <c r="E84" s="868">
        <f t="shared" si="42"/>
        <v>3.4613056764499746E-5</v>
      </c>
      <c r="F84" s="868">
        <f t="shared" si="42"/>
        <v>0.48562821461439493</v>
      </c>
      <c r="G84" s="868">
        <f t="shared" si="42"/>
        <v>0.34683338849128931</v>
      </c>
      <c r="H84" s="868">
        <f t="shared" si="42"/>
        <v>7.1939817152854302E-2</v>
      </c>
    </row>
    <row r="85" spans="1:8">
      <c r="A85" s="829" t="s">
        <v>50</v>
      </c>
      <c r="B85" s="868">
        <f t="shared" ref="B85:H85" si="43">D31</f>
        <v>64.055974095307164</v>
      </c>
      <c r="C85" s="868">
        <f t="shared" si="43"/>
        <v>58.613608418872168</v>
      </c>
      <c r="D85" s="868">
        <f t="shared" si="43"/>
        <v>28459.771261268554</v>
      </c>
      <c r="E85" s="868">
        <f t="shared" si="43"/>
        <v>6.1613273659839783E-2</v>
      </c>
      <c r="F85" s="868">
        <f t="shared" si="43"/>
        <v>193.26978889660438</v>
      </c>
      <c r="G85" s="868">
        <f t="shared" si="43"/>
        <v>38.281864466996588</v>
      </c>
      <c r="H85" s="868">
        <f t="shared" si="43"/>
        <v>434.36375636801824</v>
      </c>
    </row>
    <row r="86" spans="1:8">
      <c r="A86" s="829" t="s">
        <v>29</v>
      </c>
      <c r="B86" s="868">
        <f t="shared" ref="B86:H86" si="44">D47</f>
        <v>0.5265762705149577</v>
      </c>
      <c r="C86" s="868">
        <f t="shared" si="44"/>
        <v>0.47069523401658436</v>
      </c>
      <c r="D86" s="868">
        <f t="shared" si="44"/>
        <v>487.13537189587771</v>
      </c>
      <c r="E86" s="868">
        <f t="shared" si="44"/>
        <v>6.3763350508239125E-4</v>
      </c>
      <c r="F86" s="868">
        <f t="shared" si="44"/>
        <v>2.2211446913486705</v>
      </c>
      <c r="G86" s="868">
        <f t="shared" si="44"/>
        <v>0.43068640161079241</v>
      </c>
      <c r="H86" s="868">
        <f t="shared" si="44"/>
        <v>4.698397520044165</v>
      </c>
    </row>
    <row r="87" spans="1:8">
      <c r="A87" s="829" t="s">
        <v>412</v>
      </c>
      <c r="B87" s="868">
        <f t="shared" ref="B87:H87" si="45">D63</f>
        <v>18.289399958540891</v>
      </c>
      <c r="C87" s="868">
        <f t="shared" si="45"/>
        <v>16.762131983613045</v>
      </c>
      <c r="D87" s="868">
        <f t="shared" si="45"/>
        <v>23356.87395287375</v>
      </c>
      <c r="E87" s="868">
        <f t="shared" si="45"/>
        <v>1.7301392576890288E-2</v>
      </c>
      <c r="F87" s="868">
        <f t="shared" si="45"/>
        <v>54.001772133083726</v>
      </c>
      <c r="G87" s="868">
        <f t="shared" si="45"/>
        <v>10.793344282876664</v>
      </c>
      <c r="H87" s="868">
        <f t="shared" si="45"/>
        <v>121.36934453530691</v>
      </c>
    </row>
  </sheetData>
  <mergeCells count="69">
    <mergeCell ref="AB6:AB14"/>
    <mergeCell ref="A1:O1"/>
    <mergeCell ref="Z1:AI1"/>
    <mergeCell ref="A2:J2"/>
    <mergeCell ref="Z2:AI2"/>
    <mergeCell ref="A3:C3"/>
    <mergeCell ref="D3:J4"/>
    <mergeCell ref="Z3:AB3"/>
    <mergeCell ref="AC3:AI4"/>
    <mergeCell ref="A4:A5"/>
    <mergeCell ref="B4:B5"/>
    <mergeCell ref="C4:C5"/>
    <mergeCell ref="L4:N4"/>
    <mergeCell ref="Z4:Z5"/>
    <mergeCell ref="AA4:AA5"/>
    <mergeCell ref="AB4:AB5"/>
    <mergeCell ref="A17:O17"/>
    <mergeCell ref="A18:J18"/>
    <mergeCell ref="Z18:AI18"/>
    <mergeCell ref="A19:C19"/>
    <mergeCell ref="D19:J20"/>
    <mergeCell ref="Z19:AB19"/>
    <mergeCell ref="AC19:AI20"/>
    <mergeCell ref="A20:A21"/>
    <mergeCell ref="B20:B21"/>
    <mergeCell ref="C20:C21"/>
    <mergeCell ref="L20:N20"/>
    <mergeCell ref="Z20:Z21"/>
    <mergeCell ref="AA20:AA21"/>
    <mergeCell ref="AB20:AB21"/>
    <mergeCell ref="C6:C14"/>
    <mergeCell ref="C22:C30"/>
    <mergeCell ref="AB22:AB30"/>
    <mergeCell ref="C38:C46"/>
    <mergeCell ref="AB38:AB46"/>
    <mergeCell ref="R44:X44"/>
    <mergeCell ref="A33:O33"/>
    <mergeCell ref="A34:J34"/>
    <mergeCell ref="Z34:AI34"/>
    <mergeCell ref="A35:C35"/>
    <mergeCell ref="D35:J36"/>
    <mergeCell ref="Z35:AB35"/>
    <mergeCell ref="AC35:AI36"/>
    <mergeCell ref="A36:A37"/>
    <mergeCell ref="B36:B37"/>
    <mergeCell ref="C36:C37"/>
    <mergeCell ref="L36:N36"/>
    <mergeCell ref="R36:X36"/>
    <mergeCell ref="Z36:Z37"/>
    <mergeCell ref="AA36:AA37"/>
    <mergeCell ref="AB36:AB37"/>
    <mergeCell ref="AB52:AB53"/>
    <mergeCell ref="AB54:AB62"/>
    <mergeCell ref="A49:O49"/>
    <mergeCell ref="A50:J50"/>
    <mergeCell ref="Z50:AI50"/>
    <mergeCell ref="A51:C51"/>
    <mergeCell ref="D51:J52"/>
    <mergeCell ref="Z51:AB51"/>
    <mergeCell ref="AC51:AI52"/>
    <mergeCell ref="A52:A53"/>
    <mergeCell ref="B52:B53"/>
    <mergeCell ref="C52:C53"/>
    <mergeCell ref="A65:O65"/>
    <mergeCell ref="A67:J67"/>
    <mergeCell ref="L52:N52"/>
    <mergeCell ref="Z52:Z53"/>
    <mergeCell ref="AA52:AA53"/>
    <mergeCell ref="C54:C62"/>
  </mergeCells>
  <pageMargins left="0.7" right="0.7" top="0.75" bottom="0.75" header="0.3" footer="0.3"/>
  <pageSetup paperSize="9" scale="75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32F4516-1C7C-4B34-9011-AFEB48B08923}">
          <x14:formula1>
            <xm:f>Wskazniki!$A$4:$A$10</xm:f>
          </x14:formula1>
          <xm:sqref>A6:A12 A22:A28 A38:A44 A54:A60 Z6:Z12 Z54:Z60 Z22:Z30 Z38:Z44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A42C2-C8FF-489E-99D5-B41AD6666633}">
  <dimension ref="C1:M45"/>
  <sheetViews>
    <sheetView topLeftCell="B1" workbookViewId="0">
      <selection activeCell="K16" sqref="K16"/>
    </sheetView>
  </sheetViews>
  <sheetFormatPr defaultRowHeight="12.75"/>
  <cols>
    <col min="3" max="3" width="21.28515625" customWidth="1"/>
    <col min="4" max="4" width="9.140625" bestFit="1" customWidth="1"/>
    <col min="6" max="6" width="11.42578125" bestFit="1" customWidth="1"/>
    <col min="10" max="10" width="21.140625" customWidth="1"/>
    <col min="11" max="13" width="13.42578125" bestFit="1" customWidth="1"/>
  </cols>
  <sheetData>
    <row r="1" spans="3:13">
      <c r="C1" s="1158" t="s">
        <v>648</v>
      </c>
      <c r="D1" s="1158"/>
      <c r="E1" s="1158"/>
      <c r="F1" s="1158"/>
      <c r="J1" s="1158" t="s">
        <v>653</v>
      </c>
      <c r="K1" s="1158"/>
      <c r="L1" s="1158"/>
      <c r="M1" s="1158"/>
    </row>
    <row r="2" spans="3:13">
      <c r="C2" s="982" t="s">
        <v>25</v>
      </c>
      <c r="D2" s="982">
        <v>2016</v>
      </c>
      <c r="E2" s="982">
        <v>2022</v>
      </c>
      <c r="F2" s="982">
        <v>2032</v>
      </c>
      <c r="J2" s="982" t="s">
        <v>25</v>
      </c>
      <c r="K2" s="982">
        <v>2016</v>
      </c>
      <c r="L2" s="982">
        <v>2022</v>
      </c>
      <c r="M2" s="982">
        <v>2032</v>
      </c>
    </row>
    <row r="3" spans="3:13">
      <c r="C3" s="733" t="s">
        <v>649</v>
      </c>
      <c r="D3" s="986">
        <f>'2032 Emisja opti'!R7</f>
        <v>29.165621499999993</v>
      </c>
      <c r="E3" s="986">
        <f>'2032 Emisja opti'!S7</f>
        <v>33.438495455203125</v>
      </c>
      <c r="F3" s="986">
        <f>'2032 Emisja opti'!T7</f>
        <v>49.319195847241502</v>
      </c>
      <c r="J3" s="733" t="s">
        <v>649</v>
      </c>
      <c r="K3" s="986">
        <f>'2032 Emisja opti'!R11</f>
        <v>1.9993802142467803</v>
      </c>
      <c r="L3" s="986">
        <f>'2032 Emisja opti'!S11</f>
        <v>1.3698972179430402</v>
      </c>
      <c r="M3" s="986">
        <f>'2032 Emisja opti'!T11</f>
        <v>0.69084442294026938</v>
      </c>
    </row>
    <row r="4" spans="3:13">
      <c r="C4" s="733" t="s">
        <v>651</v>
      </c>
      <c r="D4" s="986">
        <f>'2032 Emisja zaniech'!R7</f>
        <v>29.165621499999993</v>
      </c>
      <c r="E4" s="986">
        <f>'2032 Emisja zaniech'!S7</f>
        <v>32.793800374913374</v>
      </c>
      <c r="F4" s="986">
        <f>'2032 Emisja zaniech'!T7</f>
        <v>34.830954354793164</v>
      </c>
      <c r="J4" s="733" t="s">
        <v>651</v>
      </c>
      <c r="K4" s="986">
        <f>'2032 Emisja zaniech'!R11</f>
        <v>1.9993802142467803</v>
      </c>
      <c r="L4" s="986">
        <f>'2032 Emisja zaniech'!S11</f>
        <v>2.0644010722432937</v>
      </c>
      <c r="M4" s="986">
        <f>'2032 Emisja zaniech'!T11</f>
        <v>2.2129218127657051</v>
      </c>
    </row>
    <row r="5" spans="3:13">
      <c r="C5" s="733" t="s">
        <v>650</v>
      </c>
      <c r="D5" s="986">
        <f>(D4+D3)/2</f>
        <v>29.165621499999993</v>
      </c>
      <c r="E5" s="986">
        <f t="shared" ref="E5" si="0">(E4+E3)/2</f>
        <v>33.116147915058249</v>
      </c>
      <c r="F5" s="986">
        <f>(F4+F3)/2</f>
        <v>42.075075101017333</v>
      </c>
      <c r="J5" s="733" t="s">
        <v>650</v>
      </c>
      <c r="K5" s="986">
        <f>(K4+K3)/2</f>
        <v>1.9993802142467803</v>
      </c>
      <c r="L5" s="986">
        <f t="shared" ref="L5" si="1">(L4+L3)/2</f>
        <v>1.7171491450931669</v>
      </c>
      <c r="M5" s="986">
        <f>(M4+M3)/2</f>
        <v>1.4518831178529872</v>
      </c>
    </row>
    <row r="6" spans="3:13">
      <c r="C6" s="65"/>
      <c r="D6" s="77"/>
      <c r="E6" s="77">
        <f>E5/D5</f>
        <v>1.1354514737516654</v>
      </c>
      <c r="F6" s="77">
        <f>F5/D5</f>
        <v>1.4426256989249258</v>
      </c>
      <c r="J6" s="65"/>
      <c r="K6" s="77"/>
      <c r="L6" s="77">
        <f>L5/K5</f>
        <v>0.85884072116821597</v>
      </c>
      <c r="M6" s="77">
        <f>M5/K5</f>
        <v>0.7261665927808284</v>
      </c>
    </row>
    <row r="7" spans="3:13">
      <c r="C7" s="65"/>
      <c r="D7" s="77"/>
      <c r="E7" s="77"/>
      <c r="F7" s="77"/>
    </row>
    <row r="8" spans="3:13" ht="13.5" thickBot="1">
      <c r="C8" s="65"/>
      <c r="D8" s="77"/>
      <c r="E8" s="77"/>
      <c r="F8" s="77"/>
    </row>
    <row r="9" spans="3:13">
      <c r="C9" s="1159"/>
      <c r="D9" s="1160"/>
      <c r="E9" s="1160"/>
      <c r="F9" s="1161"/>
      <c r="J9" s="1164" t="s">
        <v>652</v>
      </c>
      <c r="K9" s="1164"/>
      <c r="L9" s="1164"/>
      <c r="M9" s="1164"/>
    </row>
    <row r="10" spans="3:13">
      <c r="C10" s="981"/>
      <c r="D10" s="982"/>
      <c r="E10" s="982"/>
      <c r="F10" s="983"/>
      <c r="J10" s="987" t="s">
        <v>25</v>
      </c>
      <c r="K10" s="987">
        <v>2016</v>
      </c>
      <c r="L10" s="987">
        <v>2022</v>
      </c>
      <c r="M10" s="987">
        <v>2032</v>
      </c>
    </row>
    <row r="11" spans="3:13" ht="25.5">
      <c r="C11" s="1162"/>
      <c r="D11" s="1158"/>
      <c r="E11" s="1158"/>
      <c r="F11" s="1163"/>
      <c r="J11" s="987" t="s">
        <v>645</v>
      </c>
      <c r="K11" s="1008">
        <v>41838.852214246785</v>
      </c>
      <c r="L11" s="988">
        <f>K11*L12</f>
        <v>43736.991462833583</v>
      </c>
      <c r="M11" s="988">
        <f>K11*M12</f>
        <v>45235.43677665235</v>
      </c>
    </row>
    <row r="12" spans="3:13" ht="15">
      <c r="C12" s="981"/>
      <c r="E12" s="984"/>
      <c r="F12" s="984"/>
      <c r="J12" s="987" t="s">
        <v>644</v>
      </c>
      <c r="K12" s="989">
        <v>1</v>
      </c>
      <c r="L12" s="990">
        <v>1.0453678614046791</v>
      </c>
      <c r="M12" s="990">
        <v>1.0811825464286751</v>
      </c>
    </row>
    <row r="13" spans="3:13" ht="25.5">
      <c r="C13" s="65"/>
      <c r="J13" s="987" t="s">
        <v>646</v>
      </c>
      <c r="K13" s="988">
        <f>'[2]Struktura paliw łącznie'!$M$24</f>
        <v>55222.8</v>
      </c>
      <c r="L13" s="988">
        <f>K13</f>
        <v>55222.8</v>
      </c>
      <c r="M13" s="988">
        <f>L13</f>
        <v>55222.8</v>
      </c>
    </row>
    <row r="14" spans="3:13" ht="38.25">
      <c r="D14" s="30"/>
      <c r="J14" s="987" t="s">
        <v>647</v>
      </c>
      <c r="K14" s="988">
        <f>K11+K13</f>
        <v>97061.652214246787</v>
      </c>
      <c r="L14" s="988">
        <f t="shared" ref="L14:M14" si="2">L11+L13</f>
        <v>98959.791462833586</v>
      </c>
      <c r="M14" s="988">
        <f t="shared" si="2"/>
        <v>100458.23677665235</v>
      </c>
    </row>
    <row r="15" spans="3:13">
      <c r="C15" s="981"/>
      <c r="D15" s="985"/>
      <c r="J15" s="987" t="s">
        <v>644</v>
      </c>
      <c r="K15" s="989">
        <v>1</v>
      </c>
      <c r="L15" s="989">
        <f>L14/K14</f>
        <v>1.0195560162565231</v>
      </c>
      <c r="M15" s="989">
        <f>M14/K14</f>
        <v>1.0349940938045048</v>
      </c>
    </row>
    <row r="16" spans="3:13">
      <c r="K16" s="476">
        <f>K11/3.6</f>
        <v>11621.903392846329</v>
      </c>
      <c r="L16" s="476">
        <f t="shared" ref="L16:M16" si="3">L11/3.6</f>
        <v>12149.164295231551</v>
      </c>
      <c r="M16" s="476">
        <f t="shared" si="3"/>
        <v>12565.399104625652</v>
      </c>
    </row>
    <row r="17" spans="5:13" ht="13.5" thickBot="1"/>
    <row r="18" spans="5:13" ht="13.5" thickBot="1">
      <c r="E18" s="998">
        <v>2005</v>
      </c>
      <c r="F18" s="999">
        <v>10912.4</v>
      </c>
    </row>
    <row r="19" spans="5:13" ht="14.25" thickTop="1" thickBot="1">
      <c r="E19" s="1000">
        <v>2006</v>
      </c>
      <c r="F19" s="1001">
        <v>10416.700000000001</v>
      </c>
      <c r="J19" s="1153" t="s">
        <v>494</v>
      </c>
      <c r="K19" s="1002">
        <v>2016</v>
      </c>
      <c r="L19" s="1002">
        <v>2022</v>
      </c>
      <c r="M19" s="1003">
        <v>2032</v>
      </c>
    </row>
    <row r="20" spans="5:13" ht="15" customHeight="1" thickBot="1">
      <c r="E20" s="1000">
        <v>2007</v>
      </c>
      <c r="F20" s="1001">
        <v>9621.1</v>
      </c>
      <c r="J20" s="1154"/>
      <c r="K20" s="1155" t="s">
        <v>661</v>
      </c>
      <c r="L20" s="1156"/>
      <c r="M20" s="1157"/>
    </row>
    <row r="21" spans="5:13" ht="13.5" thickBot="1">
      <c r="E21" s="1000">
        <v>2008</v>
      </c>
      <c r="F21" s="1001">
        <v>9791.2000000000007</v>
      </c>
      <c r="J21" s="1004" t="s">
        <v>663</v>
      </c>
      <c r="K21" s="1008">
        <f>'[1]Mieszk. jednorodz. - emisja'!$AC$13-'[1]Mieszk. jednorodz. - emisja'!$AC$12-'[1]Mieszk. jednorodz. - emisja'!$AC$11</f>
        <v>28425.679999999997</v>
      </c>
      <c r="L21" s="1009">
        <f>K21*L22</f>
        <v>32405.275199999993</v>
      </c>
      <c r="M21" s="1010">
        <f>K21*M22</f>
        <v>39795.95199999999</v>
      </c>
    </row>
    <row r="22" spans="5:13" ht="13.5" thickBot="1">
      <c r="E22" s="1000">
        <v>2009</v>
      </c>
      <c r="F22" s="1001">
        <v>9846.5</v>
      </c>
      <c r="J22" s="1004" t="s">
        <v>662</v>
      </c>
      <c r="K22" s="1011">
        <v>1</v>
      </c>
      <c r="L22" s="1011">
        <v>1.1399999999999999</v>
      </c>
      <c r="M22" s="1012">
        <v>1.4</v>
      </c>
    </row>
    <row r="23" spans="5:13" ht="13.5" thickBot="1">
      <c r="E23" s="1000">
        <v>2010</v>
      </c>
      <c r="F23" s="1001">
        <v>10305.200000000001</v>
      </c>
      <c r="J23" s="1004" t="s">
        <v>664</v>
      </c>
      <c r="K23" s="1009">
        <f>'[1]Mieszk. jednorodz. - emisja'!$AC$11+'[1]Mieszk. jednorodz. - emisja'!$AC$12</f>
        <v>55545.320000000007</v>
      </c>
      <c r="L23" s="1009">
        <f>K23</f>
        <v>55545.320000000007</v>
      </c>
      <c r="M23" s="1010">
        <f>L23</f>
        <v>55545.320000000007</v>
      </c>
    </row>
    <row r="24" spans="5:13" ht="13.5" thickBot="1">
      <c r="E24" s="1000">
        <v>2011</v>
      </c>
      <c r="F24" s="1001">
        <v>9167</v>
      </c>
      <c r="J24" s="1004" t="s">
        <v>662</v>
      </c>
      <c r="K24" s="1013" t="s">
        <v>58</v>
      </c>
      <c r="L24" s="1013" t="s">
        <v>58</v>
      </c>
      <c r="M24" s="1014" t="s">
        <v>58</v>
      </c>
    </row>
    <row r="25" spans="5:13" ht="13.5" thickBot="1">
      <c r="E25" s="1000">
        <v>2012</v>
      </c>
      <c r="F25" s="1001">
        <v>9303.2999999999993</v>
      </c>
      <c r="J25" s="1005" t="s">
        <v>405</v>
      </c>
      <c r="K25" s="1015">
        <f>K23+K21</f>
        <v>83971</v>
      </c>
      <c r="L25" s="1015">
        <f t="shared" ref="L25:M25" si="4">L23+L21</f>
        <v>87950.595199999996</v>
      </c>
      <c r="M25" s="1015">
        <f t="shared" si="4"/>
        <v>95341.271999999997</v>
      </c>
    </row>
    <row r="26" spans="5:13" ht="13.5" thickBot="1">
      <c r="E26" s="1000">
        <v>2013</v>
      </c>
      <c r="F26" s="1001">
        <v>9106.2000000000007</v>
      </c>
      <c r="J26" s="1006" t="s">
        <v>662</v>
      </c>
      <c r="K26" s="1016">
        <v>1</v>
      </c>
      <c r="L26" s="1016">
        <f>L25/K25</f>
        <v>1.0473924950280453</v>
      </c>
      <c r="M26" s="1017">
        <f>M25/K25</f>
        <v>1.1354071286515584</v>
      </c>
    </row>
    <row r="27" spans="5:13" ht="13.5" thickBot="1">
      <c r="E27" s="998">
        <v>2014</v>
      </c>
      <c r="F27" s="999">
        <v>8916.6888888888898</v>
      </c>
    </row>
    <row r="28" spans="5:13" ht="13.5" thickBot="1">
      <c r="E28" s="1000">
        <v>2015</v>
      </c>
      <c r="F28" s="1001">
        <v>8734.0355555555598</v>
      </c>
    </row>
    <row r="29" spans="5:13" ht="13.5" thickBot="1">
      <c r="E29" s="1000">
        <v>2016</v>
      </c>
      <c r="F29" s="1001">
        <f>8551.38222222222</f>
        <v>8551.3822222222207</v>
      </c>
      <c r="G29">
        <f>F29*1.05</f>
        <v>8978.9513333333325</v>
      </c>
      <c r="H29">
        <f>G29*1000</f>
        <v>8978951.3333333321</v>
      </c>
      <c r="I29" s="30">
        <f>H29-K21</f>
        <v>8950525.6533333324</v>
      </c>
    </row>
    <row r="30" spans="5:13" ht="13.5" thickBot="1">
      <c r="E30" s="998">
        <v>2017</v>
      </c>
      <c r="F30" s="999">
        <v>8551.3822222222298</v>
      </c>
    </row>
    <row r="31" spans="5:13" ht="13.5" thickBot="1">
      <c r="E31" s="1000">
        <v>2018</v>
      </c>
      <c r="F31" s="1001">
        <v>8368.7288888888907</v>
      </c>
    </row>
    <row r="32" spans="5:13" ht="13.5" thickBot="1">
      <c r="E32" s="1000">
        <v>2019</v>
      </c>
      <c r="F32" s="1001">
        <v>8186.0755555555597</v>
      </c>
    </row>
    <row r="33" spans="5:7" ht="13.5" thickBot="1">
      <c r="E33" s="1000">
        <v>2020</v>
      </c>
      <c r="F33" s="1001">
        <v>8003.4222222222297</v>
      </c>
    </row>
    <row r="34" spans="5:7" ht="13.5" thickBot="1">
      <c r="E34" s="1000">
        <v>2021</v>
      </c>
      <c r="F34" s="1001">
        <v>7820.7688888888897</v>
      </c>
    </row>
    <row r="35" spans="5:7" ht="13.5" thickBot="1">
      <c r="E35" s="1000">
        <v>2022</v>
      </c>
      <c r="F35" s="1001">
        <v>7638.1155555555597</v>
      </c>
      <c r="G35">
        <f>F35/F29</f>
        <v>0.89320245044206048</v>
      </c>
    </row>
    <row r="36" spans="5:7" ht="13.5" thickBot="1">
      <c r="E36" s="1000">
        <v>2023</v>
      </c>
      <c r="F36" s="1001">
        <v>7455.4622222222297</v>
      </c>
    </row>
    <row r="37" spans="5:7" ht="13.5" thickBot="1">
      <c r="E37" s="1000">
        <v>2024</v>
      </c>
      <c r="F37" s="1001">
        <v>7272.8088888888897</v>
      </c>
    </row>
    <row r="38" spans="5:7" ht="13.5" thickBot="1">
      <c r="E38" s="1000">
        <v>2025</v>
      </c>
      <c r="F38" s="1001">
        <v>7090.1555555555597</v>
      </c>
    </row>
    <row r="39" spans="5:7" ht="13.5" thickBot="1">
      <c r="E39" s="998">
        <v>2026</v>
      </c>
      <c r="F39" s="999">
        <v>6907.5022222222296</v>
      </c>
    </row>
    <row r="40" spans="5:7" ht="13.5" thickBot="1">
      <c r="E40" s="1000">
        <v>2027</v>
      </c>
      <c r="F40" s="1001">
        <v>6724.8488888888896</v>
      </c>
    </row>
    <row r="41" spans="5:7" ht="13.5" thickBot="1">
      <c r="E41" s="998">
        <v>2028</v>
      </c>
      <c r="F41" s="999">
        <v>8551.3822222222298</v>
      </c>
    </row>
    <row r="42" spans="5:7" ht="13.5" thickBot="1">
      <c r="E42" s="1000">
        <v>2029</v>
      </c>
      <c r="F42" s="1001">
        <v>8368.7288888888907</v>
      </c>
    </row>
    <row r="43" spans="5:7" ht="13.5" thickBot="1">
      <c r="E43" s="1000">
        <v>2030</v>
      </c>
      <c r="F43" s="1001">
        <v>8186.0755555555597</v>
      </c>
    </row>
    <row r="44" spans="5:7" ht="13.5" thickBot="1">
      <c r="E44" s="1000">
        <v>2031</v>
      </c>
      <c r="F44" s="1001">
        <v>8003.4222222222297</v>
      </c>
    </row>
    <row r="45" spans="5:7" ht="13.5" thickBot="1">
      <c r="E45" s="1000">
        <v>2032</v>
      </c>
      <c r="F45" s="1001">
        <v>7820.7688888888897</v>
      </c>
      <c r="G45">
        <f>F45/F29</f>
        <v>0.91456196035364812</v>
      </c>
    </row>
  </sheetData>
  <mergeCells count="7">
    <mergeCell ref="J19:J20"/>
    <mergeCell ref="K20:M20"/>
    <mergeCell ref="C1:F1"/>
    <mergeCell ref="J1:M1"/>
    <mergeCell ref="C9:F9"/>
    <mergeCell ref="C11:F11"/>
    <mergeCell ref="J9:M9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D8B8D-C3B6-4DFF-9C0F-8547D78A75F7}">
  <sheetPr>
    <tabColor theme="0" tint="-0.249977111117893"/>
  </sheetPr>
  <dimension ref="A1:V58"/>
  <sheetViews>
    <sheetView topLeftCell="A28" zoomScaleNormal="100" zoomScaleSheetLayoutView="85" workbookViewId="0">
      <selection activeCell="A42" sqref="A42:XFD42"/>
    </sheetView>
  </sheetViews>
  <sheetFormatPr defaultRowHeight="11.25"/>
  <cols>
    <col min="1" max="1" width="13.28515625" style="742" customWidth="1"/>
    <col min="2" max="3" width="14.42578125" style="742" customWidth="1"/>
    <col min="4" max="4" width="14.5703125" style="742" customWidth="1"/>
    <col min="5" max="5" width="11.42578125" style="742" bestFit="1" customWidth="1"/>
    <col min="6" max="6" width="12.140625" style="742" customWidth="1"/>
    <col min="7" max="7" width="14" style="742" customWidth="1"/>
    <col min="8" max="8" width="11.42578125" style="742" bestFit="1" customWidth="1"/>
    <col min="9" max="9" width="10.42578125" style="742" bestFit="1" customWidth="1"/>
    <col min="10" max="10" width="15.28515625" style="742" bestFit="1" customWidth="1"/>
    <col min="11" max="11" width="10.42578125" style="742" bestFit="1" customWidth="1"/>
    <col min="12" max="12" width="11.42578125" style="742" bestFit="1" customWidth="1"/>
    <col min="13" max="13" width="11.28515625" style="742" customWidth="1"/>
    <col min="14" max="14" width="19" style="742" customWidth="1"/>
    <col min="15" max="15" width="14" style="742" customWidth="1"/>
    <col min="16" max="16" width="3.5703125" style="742" hidden="1" customWidth="1"/>
    <col min="17" max="17" width="16.85546875" style="742" bestFit="1" customWidth="1"/>
    <col min="18" max="16384" width="9.140625" style="742"/>
  </cols>
  <sheetData>
    <row r="1" spans="1:22" ht="16.5" thickBot="1">
      <c r="A1" s="741" t="s">
        <v>506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N1" s="743" t="s">
        <v>507</v>
      </c>
      <c r="O1" s="743"/>
      <c r="P1" s="743"/>
      <c r="Q1" s="743"/>
      <c r="R1" s="743"/>
      <c r="S1" s="743"/>
      <c r="T1" s="743"/>
      <c r="U1" s="743">
        <v>0.81200000000000006</v>
      </c>
      <c r="V1" s="744" t="s">
        <v>508</v>
      </c>
    </row>
    <row r="2" spans="1:22" ht="12" customHeight="1" thickBot="1">
      <c r="A2" s="741"/>
      <c r="B2" s="741"/>
      <c r="C2" s="741"/>
      <c r="D2" s="741"/>
      <c r="E2" s="741"/>
      <c r="F2" s="741"/>
      <c r="G2" s="741"/>
      <c r="H2" s="741"/>
      <c r="I2" s="741"/>
      <c r="J2" s="1176" t="s">
        <v>509</v>
      </c>
      <c r="K2" s="1177"/>
      <c r="L2" s="1178"/>
      <c r="N2" s="745"/>
      <c r="O2" s="745" t="s">
        <v>510</v>
      </c>
      <c r="P2" s="746" t="s">
        <v>511</v>
      </c>
      <c r="Q2" s="746" t="s">
        <v>512</v>
      </c>
      <c r="R2" s="745" t="s">
        <v>513</v>
      </c>
      <c r="S2" s="745" t="s">
        <v>513</v>
      </c>
      <c r="T2" s="745" t="s">
        <v>514</v>
      </c>
      <c r="U2" s="744" t="s">
        <v>514</v>
      </c>
      <c r="V2" s="747" t="s">
        <v>515</v>
      </c>
    </row>
    <row r="3" spans="1:22" ht="56.25">
      <c r="A3" s="748" t="s">
        <v>516</v>
      </c>
      <c r="B3" s="749" t="s">
        <v>517</v>
      </c>
      <c r="C3" s="749" t="s">
        <v>518</v>
      </c>
      <c r="E3" s="748" t="s">
        <v>519</v>
      </c>
      <c r="F3" s="750" t="s">
        <v>304</v>
      </c>
      <c r="G3" s="750" t="s">
        <v>520</v>
      </c>
      <c r="H3" s="749" t="s">
        <v>521</v>
      </c>
      <c r="J3" s="751" t="s">
        <v>72</v>
      </c>
      <c r="K3" s="752" t="s">
        <v>522</v>
      </c>
      <c r="L3" s="753">
        <v>6.5</v>
      </c>
      <c r="N3" s="754" t="s">
        <v>523</v>
      </c>
      <c r="O3" s="754">
        <f>Q3</f>
        <v>3.7499999999999999E-2</v>
      </c>
      <c r="P3" s="754">
        <v>15</v>
      </c>
      <c r="Q3" s="754">
        <f>P3*$V$3/1000000</f>
        <v>3.7499999999999999E-2</v>
      </c>
      <c r="R3" s="754">
        <v>20</v>
      </c>
      <c r="S3" s="754">
        <f>R3*$V$3/1000000</f>
        <v>0.05</v>
      </c>
      <c r="T3" s="754">
        <v>25</v>
      </c>
      <c r="U3" s="754">
        <f>T3*$V$3/1000000</f>
        <v>6.25E-2</v>
      </c>
      <c r="V3" s="755">
        <v>2500</v>
      </c>
    </row>
    <row r="4" spans="1:22" ht="14.25">
      <c r="A4" s="756" t="s">
        <v>479</v>
      </c>
      <c r="B4" s="757">
        <v>22.63</v>
      </c>
      <c r="C4" s="758">
        <v>41</v>
      </c>
      <c r="D4" s="759"/>
      <c r="E4" s="760" t="s">
        <v>11</v>
      </c>
      <c r="F4" s="761">
        <v>0.2</v>
      </c>
      <c r="G4" s="762" t="s">
        <v>302</v>
      </c>
      <c r="H4" s="763">
        <v>290</v>
      </c>
      <c r="J4" s="751" t="s">
        <v>72</v>
      </c>
      <c r="K4" s="752" t="s">
        <v>524</v>
      </c>
      <c r="L4" s="764">
        <v>35</v>
      </c>
      <c r="N4" s="754" t="s">
        <v>525</v>
      </c>
      <c r="O4" s="754">
        <f t="shared" ref="O4:O7" si="0">Q4</f>
        <v>0.03</v>
      </c>
      <c r="P4" s="754">
        <v>15</v>
      </c>
      <c r="Q4" s="754">
        <f>P4*$V$4/1000000</f>
        <v>0.03</v>
      </c>
      <c r="R4" s="754">
        <v>20</v>
      </c>
      <c r="S4" s="754">
        <f>R4*$V$4/1000000</f>
        <v>0.04</v>
      </c>
      <c r="T4" s="754">
        <v>25</v>
      </c>
      <c r="U4" s="754">
        <f>T4*$V$4/1000000</f>
        <v>0.05</v>
      </c>
      <c r="V4" s="754">
        <v>2000</v>
      </c>
    </row>
    <row r="5" spans="1:22" ht="14.25">
      <c r="A5" s="756" t="s">
        <v>331</v>
      </c>
      <c r="B5" s="757">
        <v>4.0035600000000005E-2</v>
      </c>
      <c r="C5" s="758">
        <v>70</v>
      </c>
      <c r="D5" s="759"/>
      <c r="E5" s="760" t="s">
        <v>12</v>
      </c>
      <c r="F5" s="761">
        <v>0.22</v>
      </c>
      <c r="G5" s="762" t="s">
        <v>39</v>
      </c>
      <c r="H5" s="763">
        <v>250</v>
      </c>
      <c r="J5" s="751" t="s">
        <v>73</v>
      </c>
      <c r="K5" s="752" t="s">
        <v>74</v>
      </c>
      <c r="L5" s="765">
        <v>0</v>
      </c>
      <c r="N5" s="754" t="s">
        <v>526</v>
      </c>
      <c r="O5" s="754">
        <f t="shared" si="0"/>
        <v>7.4999999999999997E-2</v>
      </c>
      <c r="P5" s="754">
        <v>15</v>
      </c>
      <c r="Q5" s="754">
        <f>P5*$V$5/1000000</f>
        <v>7.4999999999999997E-2</v>
      </c>
      <c r="R5" s="754">
        <v>25</v>
      </c>
      <c r="S5" s="754">
        <f>R5*$V$5/1000000</f>
        <v>0.125</v>
      </c>
      <c r="T5" s="754">
        <v>35</v>
      </c>
      <c r="U5" s="754">
        <f>3.6*T5*$V$5/1000000</f>
        <v>0.63</v>
      </c>
      <c r="V5" s="755">
        <v>5000</v>
      </c>
    </row>
    <row r="6" spans="1:22" ht="14.25">
      <c r="A6" s="756" t="s">
        <v>335</v>
      </c>
      <c r="B6" s="757">
        <v>15</v>
      </c>
      <c r="C6" s="758">
        <v>38</v>
      </c>
      <c r="D6" s="759"/>
      <c r="E6" s="760" t="s">
        <v>13</v>
      </c>
      <c r="F6" s="761">
        <v>0.1</v>
      </c>
      <c r="G6" s="762" t="s">
        <v>40</v>
      </c>
      <c r="H6" s="763">
        <v>175</v>
      </c>
      <c r="J6" s="751" t="s">
        <v>70</v>
      </c>
      <c r="K6" s="766">
        <v>4.1900000000000004</v>
      </c>
      <c r="L6" s="764">
        <v>4.1900000000000004</v>
      </c>
      <c r="N6" s="754" t="s">
        <v>527</v>
      </c>
      <c r="O6" s="754">
        <f t="shared" si="0"/>
        <v>0.02</v>
      </c>
      <c r="P6" s="754">
        <v>10</v>
      </c>
      <c r="Q6" s="754">
        <f>P6*$V$6/1000000</f>
        <v>0.02</v>
      </c>
      <c r="R6" s="754">
        <v>20</v>
      </c>
      <c r="S6" s="754">
        <f>R6*$V$6/1000000</f>
        <v>0.04</v>
      </c>
      <c r="T6" s="754">
        <v>30</v>
      </c>
      <c r="U6" s="754">
        <f>T6*$V$6/1000000</f>
        <v>0.06</v>
      </c>
      <c r="V6" s="755">
        <v>2000</v>
      </c>
    </row>
    <row r="7" spans="1:22" ht="14.25">
      <c r="A7" s="756" t="s">
        <v>337</v>
      </c>
      <c r="B7" s="757">
        <v>18</v>
      </c>
      <c r="C7" s="758">
        <v>54</v>
      </c>
      <c r="D7" s="759"/>
      <c r="E7" s="760" t="s">
        <v>87</v>
      </c>
      <c r="F7" s="761">
        <v>0.06</v>
      </c>
      <c r="G7" s="762" t="s">
        <v>41</v>
      </c>
      <c r="H7" s="763">
        <v>130</v>
      </c>
      <c r="J7" s="751" t="s">
        <v>75</v>
      </c>
      <c r="K7" s="752" t="s">
        <v>76</v>
      </c>
      <c r="L7" s="764">
        <v>365</v>
      </c>
      <c r="N7" s="754" t="s">
        <v>528</v>
      </c>
      <c r="O7" s="754">
        <f t="shared" si="0"/>
        <v>3.7499999999999999E-2</v>
      </c>
      <c r="P7" s="754">
        <v>15</v>
      </c>
      <c r="Q7" s="754">
        <f>P7*$V$7/1000000</f>
        <v>3.7499999999999999E-2</v>
      </c>
      <c r="R7" s="754">
        <v>25</v>
      </c>
      <c r="S7" s="754">
        <f>R7*$V$7/1000000</f>
        <v>6.25E-2</v>
      </c>
      <c r="T7" s="754">
        <v>35</v>
      </c>
      <c r="U7" s="754">
        <f>T7*$V$7/1000000</f>
        <v>8.7499999999999994E-2</v>
      </c>
      <c r="V7" s="755">
        <v>2500</v>
      </c>
    </row>
    <row r="8" spans="1:22" ht="13.5" customHeight="1">
      <c r="A8" s="756" t="s">
        <v>338</v>
      </c>
      <c r="B8" s="757">
        <f>40.19*0.86</f>
        <v>34.563399999999994</v>
      </c>
      <c r="C8" s="758">
        <v>90</v>
      </c>
      <c r="D8" s="759"/>
      <c r="E8" s="760" t="s">
        <v>15</v>
      </c>
      <c r="F8" s="761">
        <v>0.42</v>
      </c>
      <c r="G8" s="762" t="s">
        <v>42</v>
      </c>
      <c r="H8" s="763">
        <v>115</v>
      </c>
      <c r="J8" s="751" t="s">
        <v>77</v>
      </c>
      <c r="K8" s="752" t="s">
        <v>78</v>
      </c>
      <c r="L8" s="764">
        <v>1</v>
      </c>
      <c r="N8" s="767" t="s">
        <v>529</v>
      </c>
      <c r="P8" s="768" t="s">
        <v>364</v>
      </c>
    </row>
    <row r="9" spans="1:22" ht="12" thickBot="1">
      <c r="A9" s="756" t="s">
        <v>480</v>
      </c>
      <c r="B9" s="757" t="s">
        <v>58</v>
      </c>
      <c r="C9" s="758" t="s">
        <v>58</v>
      </c>
      <c r="E9" s="769">
        <v>0</v>
      </c>
      <c r="F9" s="770">
        <v>0</v>
      </c>
      <c r="G9" s="771">
        <v>0</v>
      </c>
      <c r="H9" s="772">
        <v>0</v>
      </c>
      <c r="J9" s="751" t="s">
        <v>79</v>
      </c>
      <c r="K9" s="752" t="s">
        <v>80</v>
      </c>
      <c r="L9" s="764">
        <v>1000</v>
      </c>
      <c r="N9" s="742" t="s">
        <v>530</v>
      </c>
      <c r="P9" s="773">
        <f>1-G13</f>
        <v>0.6</v>
      </c>
    </row>
    <row r="10" spans="1:22" ht="12" thickBot="1">
      <c r="A10" s="774" t="s">
        <v>531</v>
      </c>
      <c r="B10" s="775" t="s">
        <v>58</v>
      </c>
      <c r="C10" s="758">
        <v>138</v>
      </c>
      <c r="J10" s="751" t="s">
        <v>81</v>
      </c>
      <c r="K10" s="752" t="s">
        <v>82</v>
      </c>
      <c r="L10" s="764">
        <f>55-10</f>
        <v>45</v>
      </c>
      <c r="N10" s="742" t="s">
        <v>532</v>
      </c>
      <c r="P10" s="773">
        <f>1-G14</f>
        <v>0.8</v>
      </c>
    </row>
    <row r="11" spans="1:22" ht="12" thickBot="1">
      <c r="A11" s="776" t="s">
        <v>533</v>
      </c>
      <c r="D11" s="777"/>
      <c r="J11" s="1179" t="s">
        <v>317</v>
      </c>
      <c r="K11" s="1180"/>
      <c r="L11" s="764">
        <v>0.9</v>
      </c>
      <c r="N11" s="742" t="s">
        <v>534</v>
      </c>
      <c r="P11" s="773">
        <f>1-G15</f>
        <v>1</v>
      </c>
    </row>
    <row r="12" spans="1:22" ht="22.5">
      <c r="A12" s="776" t="s">
        <v>535</v>
      </c>
      <c r="F12" s="748" t="s">
        <v>536</v>
      </c>
      <c r="G12" s="778" t="s">
        <v>537</v>
      </c>
      <c r="H12" s="779" t="s">
        <v>538</v>
      </c>
      <c r="J12" s="780" t="s">
        <v>84</v>
      </c>
      <c r="K12" s="781" t="s">
        <v>83</v>
      </c>
      <c r="L12" s="782">
        <f>L4*L6*L9*L10*L8*L7/(1000*3600)</f>
        <v>669.09062500000005</v>
      </c>
      <c r="N12" s="742" t="s">
        <v>539</v>
      </c>
    </row>
    <row r="13" spans="1:22">
      <c r="F13" s="756" t="s">
        <v>540</v>
      </c>
      <c r="G13" s="783">
        <v>0.4</v>
      </c>
      <c r="H13" s="784">
        <f>1-G13</f>
        <v>0.6</v>
      </c>
      <c r="J13" s="780" t="s">
        <v>85</v>
      </c>
      <c r="K13" s="766"/>
      <c r="L13" s="782">
        <f>L12/1000</f>
        <v>0.66909062500000005</v>
      </c>
      <c r="N13" s="742" t="s">
        <v>541</v>
      </c>
      <c r="O13" s="785" t="s">
        <v>542</v>
      </c>
    </row>
    <row r="14" spans="1:22">
      <c r="F14" s="756" t="s">
        <v>543</v>
      </c>
      <c r="G14" s="783">
        <v>0.2</v>
      </c>
      <c r="H14" s="784">
        <f t="shared" ref="H14:H15" si="1">1-G14</f>
        <v>0.8</v>
      </c>
      <c r="J14" s="780" t="s">
        <v>44</v>
      </c>
      <c r="K14" s="752"/>
      <c r="L14" s="782">
        <f>L13*3.6</f>
        <v>2.4087262500000004</v>
      </c>
      <c r="N14" s="742" t="s">
        <v>544</v>
      </c>
      <c r="O14" s="786" t="s">
        <v>545</v>
      </c>
    </row>
    <row r="15" spans="1:22" ht="12" thickBot="1">
      <c r="F15" s="774" t="s">
        <v>546</v>
      </c>
      <c r="G15" s="787">
        <v>0</v>
      </c>
      <c r="H15" s="788">
        <f t="shared" si="1"/>
        <v>1</v>
      </c>
      <c r="J15" s="789" t="s">
        <v>44</v>
      </c>
      <c r="K15" s="790" t="s">
        <v>547</v>
      </c>
      <c r="L15" s="791">
        <f>L14*L11</f>
        <v>2.1678536250000002</v>
      </c>
      <c r="N15" s="742" t="s">
        <v>548</v>
      </c>
      <c r="O15" s="786" t="s">
        <v>549</v>
      </c>
    </row>
    <row r="16" spans="1:22" ht="12" thickBot="1">
      <c r="E16" s="792"/>
      <c r="K16" s="790" t="s">
        <v>550</v>
      </c>
      <c r="L16" s="791">
        <f>L15*L3/L4</f>
        <v>0.40260138750000002</v>
      </c>
      <c r="N16" s="742" t="s">
        <v>551</v>
      </c>
      <c r="O16" s="793"/>
    </row>
    <row r="17" spans="1:19" ht="14.25" customHeight="1" thickBot="1">
      <c r="A17" s="1181" t="s">
        <v>552</v>
      </c>
      <c r="B17" s="1182"/>
      <c r="C17" s="1182"/>
      <c r="D17" s="1182"/>
      <c r="E17" s="1182"/>
      <c r="F17" s="1182"/>
      <c r="G17" s="1182"/>
      <c r="H17" s="1182"/>
      <c r="I17" s="1182"/>
      <c r="J17" s="1183"/>
      <c r="K17" s="777"/>
    </row>
    <row r="18" spans="1:19" ht="22.5" customHeight="1">
      <c r="A18" s="794" t="s">
        <v>553</v>
      </c>
      <c r="B18" s="795"/>
      <c r="C18" s="795" t="s">
        <v>479</v>
      </c>
      <c r="D18" s="795" t="s">
        <v>331</v>
      </c>
      <c r="E18" s="795" t="s">
        <v>335</v>
      </c>
      <c r="F18" s="796" t="s">
        <v>337</v>
      </c>
      <c r="G18" s="796" t="s">
        <v>298</v>
      </c>
      <c r="H18" s="795" t="s">
        <v>430</v>
      </c>
      <c r="I18" s="797" t="s">
        <v>554</v>
      </c>
      <c r="J18" s="798" t="s">
        <v>555</v>
      </c>
      <c r="N18" s="799" t="s">
        <v>483</v>
      </c>
      <c r="O18" s="767" t="s">
        <v>556</v>
      </c>
    </row>
    <row r="19" spans="1:19">
      <c r="A19" s="794" t="s">
        <v>557</v>
      </c>
      <c r="B19" s="766" t="s">
        <v>558</v>
      </c>
      <c r="C19" s="800"/>
      <c r="D19" s="800"/>
      <c r="E19" s="800"/>
      <c r="F19" s="800"/>
      <c r="G19" s="800"/>
      <c r="H19" s="800"/>
      <c r="I19" s="800">
        <v>0</v>
      </c>
      <c r="J19" s="764"/>
      <c r="N19" s="793" t="s">
        <v>539</v>
      </c>
      <c r="O19" s="742" t="s">
        <v>559</v>
      </c>
    </row>
    <row r="20" spans="1:19">
      <c r="A20" s="801" t="s">
        <v>560</v>
      </c>
      <c r="B20" s="766" t="s">
        <v>558</v>
      </c>
      <c r="C20" s="802">
        <f>225/1000000</f>
        <v>2.2499999999999999E-4</v>
      </c>
      <c r="D20" s="803">
        <f>0.5/1000000</f>
        <v>4.9999999999999998E-7</v>
      </c>
      <c r="E20" s="803">
        <f>480/1000000</f>
        <v>4.8000000000000001E-4</v>
      </c>
      <c r="F20" s="802">
        <f>480/1000000</f>
        <v>4.8000000000000001E-4</v>
      </c>
      <c r="G20" s="802">
        <f>3/1000000</f>
        <v>3.0000000000000001E-6</v>
      </c>
      <c r="H20" s="803">
        <v>0</v>
      </c>
      <c r="I20" s="803">
        <v>0</v>
      </c>
      <c r="J20" s="764"/>
      <c r="N20" s="793" t="s">
        <v>541</v>
      </c>
      <c r="O20" s="742" t="s">
        <v>549</v>
      </c>
    </row>
    <row r="21" spans="1:19">
      <c r="A21" s="801" t="s">
        <v>561</v>
      </c>
      <c r="B21" s="766" t="s">
        <v>558</v>
      </c>
      <c r="C21" s="802">
        <f>201/1000000</f>
        <v>2.0100000000000001E-4</v>
      </c>
      <c r="D21" s="803">
        <f>0.5/1000000</f>
        <v>4.9999999999999998E-7</v>
      </c>
      <c r="E21" s="803">
        <f>470/1000000</f>
        <v>4.6999999999999999E-4</v>
      </c>
      <c r="F21" s="802">
        <f>470/1000000</f>
        <v>4.6999999999999999E-4</v>
      </c>
      <c r="G21" s="802">
        <f>3/1000000</f>
        <v>3.0000000000000001E-6</v>
      </c>
      <c r="H21" s="803">
        <v>0</v>
      </c>
      <c r="I21" s="803">
        <v>0</v>
      </c>
      <c r="J21" s="764"/>
      <c r="L21" s="742" t="s">
        <v>433</v>
      </c>
      <c r="M21" s="793"/>
      <c r="N21" s="793" t="s">
        <v>544</v>
      </c>
      <c r="O21" s="742" t="s">
        <v>562</v>
      </c>
    </row>
    <row r="22" spans="1:19" ht="11.25" customHeight="1">
      <c r="A22" s="801" t="s">
        <v>563</v>
      </c>
      <c r="B22" s="766" t="s">
        <v>558</v>
      </c>
      <c r="C22" s="802">
        <f>93.74/1000</f>
        <v>9.373999999999999E-2</v>
      </c>
      <c r="D22" s="803">
        <f>55.82/1000</f>
        <v>5.5820000000000002E-2</v>
      </c>
      <c r="E22" s="803">
        <v>0</v>
      </c>
      <c r="F22" s="802">
        <v>0</v>
      </c>
      <c r="G22" s="802">
        <f>76.59/1000</f>
        <v>7.6590000000000005E-2</v>
      </c>
      <c r="H22" s="970"/>
      <c r="I22" s="803">
        <f>J22*1000/3.6</f>
        <v>225.55555555555554</v>
      </c>
      <c r="J22" s="804">
        <v>0.81200000000000006</v>
      </c>
      <c r="L22" s="970">
        <f>93.97/1000</f>
        <v>9.3969999999999998E-2</v>
      </c>
      <c r="M22" s="793"/>
      <c r="N22" s="793" t="s">
        <v>564</v>
      </c>
      <c r="O22" s="793"/>
    </row>
    <row r="23" spans="1:19">
      <c r="A23" s="801" t="s">
        <v>461</v>
      </c>
      <c r="B23" s="766" t="s">
        <v>558</v>
      </c>
      <c r="C23" s="802">
        <f>270/1000000000</f>
        <v>2.7000000000000001E-7</v>
      </c>
      <c r="D23" s="803">
        <v>0</v>
      </c>
      <c r="E23" s="803">
        <f>121/1000000000</f>
        <v>1.2100000000000001E-7</v>
      </c>
      <c r="F23" s="802">
        <f>121/1000000000</f>
        <v>1.2100000000000001E-7</v>
      </c>
      <c r="G23" s="802">
        <f>10/1000000000</f>
        <v>1E-8</v>
      </c>
      <c r="H23" s="803">
        <v>0</v>
      </c>
      <c r="I23" s="803">
        <v>0</v>
      </c>
      <c r="J23" s="764"/>
      <c r="M23" s="793"/>
      <c r="N23" s="793" t="s">
        <v>565</v>
      </c>
      <c r="O23" s="799" t="s">
        <v>566</v>
      </c>
      <c r="P23" s="767"/>
      <c r="Q23" s="767" t="s">
        <v>567</v>
      </c>
      <c r="R23" s="767"/>
      <c r="S23" s="767" t="s">
        <v>568</v>
      </c>
    </row>
    <row r="24" spans="1:19">
      <c r="A24" s="801" t="s">
        <v>569</v>
      </c>
      <c r="B24" s="766" t="s">
        <v>558</v>
      </c>
      <c r="C24" s="802">
        <f>900/1000000</f>
        <v>8.9999999999999998E-4</v>
      </c>
      <c r="D24" s="803">
        <f>0.5/1000000</f>
        <v>4.9999999999999998E-7</v>
      </c>
      <c r="E24" s="803">
        <f>11/1000000</f>
        <v>1.1E-5</v>
      </c>
      <c r="F24" s="802">
        <f>11/1000000</f>
        <v>1.1E-5</v>
      </c>
      <c r="G24" s="802">
        <f>140/1000000</f>
        <v>1.3999999999999999E-4</v>
      </c>
      <c r="H24" s="803">
        <v>0</v>
      </c>
      <c r="I24" s="803">
        <v>0</v>
      </c>
      <c r="J24" s="764"/>
      <c r="M24" s="793"/>
      <c r="N24" s="793" t="s">
        <v>530</v>
      </c>
      <c r="O24" s="742" t="s">
        <v>545</v>
      </c>
      <c r="P24" s="742" t="s">
        <v>545</v>
      </c>
      <c r="Q24" s="742" t="s">
        <v>545</v>
      </c>
      <c r="S24" s="742" t="s">
        <v>570</v>
      </c>
    </row>
    <row r="25" spans="1:19">
      <c r="A25" s="801" t="s">
        <v>571</v>
      </c>
      <c r="B25" s="766" t="s">
        <v>558</v>
      </c>
      <c r="C25" s="802">
        <f>158/1000000</f>
        <v>1.5799999999999999E-4</v>
      </c>
      <c r="D25" s="803">
        <f>50/1000000</f>
        <v>5.0000000000000002E-5</v>
      </c>
      <c r="E25" s="803">
        <f>80/1000000</f>
        <v>8.0000000000000007E-5</v>
      </c>
      <c r="F25" s="802">
        <f>80/1000000</f>
        <v>8.0000000000000007E-5</v>
      </c>
      <c r="G25" s="802">
        <f>70/1000000</f>
        <v>6.9999999999999994E-5</v>
      </c>
      <c r="H25" s="803">
        <v>0</v>
      </c>
      <c r="I25" s="803">
        <v>0</v>
      </c>
      <c r="J25" s="764"/>
      <c r="N25" s="805" t="s">
        <v>572</v>
      </c>
      <c r="O25" s="742" t="s">
        <v>549</v>
      </c>
      <c r="P25" s="742" t="s">
        <v>549</v>
      </c>
      <c r="Q25" s="742" t="s">
        <v>549</v>
      </c>
      <c r="S25" s="742" t="s">
        <v>573</v>
      </c>
    </row>
    <row r="26" spans="1:19" ht="12" thickBot="1">
      <c r="A26" s="806" t="s">
        <v>363</v>
      </c>
      <c r="B26" s="807" t="s">
        <v>558</v>
      </c>
      <c r="C26" s="802">
        <v>2.0116227089852479E-3</v>
      </c>
      <c r="D26" s="803">
        <v>7.5000000000000002E-6</v>
      </c>
      <c r="E26" s="803">
        <v>1.794E-4</v>
      </c>
      <c r="F26" s="802">
        <v>1.794E-4</v>
      </c>
      <c r="G26" s="802">
        <v>1.625355393043083E-5</v>
      </c>
      <c r="H26" s="808">
        <v>0</v>
      </c>
      <c r="I26" s="808">
        <v>0</v>
      </c>
      <c r="J26" s="809"/>
      <c r="N26" s="810" t="s">
        <v>574</v>
      </c>
      <c r="O26" s="742" t="s">
        <v>575</v>
      </c>
      <c r="P26" s="742" t="s">
        <v>575</v>
      </c>
      <c r="Q26" s="742" t="s">
        <v>575</v>
      </c>
    </row>
    <row r="27" spans="1:19">
      <c r="N27" s="810" t="s">
        <v>576</v>
      </c>
    </row>
    <row r="28" spans="1:19">
      <c r="N28" s="810" t="s">
        <v>577</v>
      </c>
    </row>
    <row r="29" spans="1:19" ht="11.25" customHeight="1">
      <c r="A29" s="1184" t="s">
        <v>578</v>
      </c>
      <c r="B29" s="811">
        <v>0.71</v>
      </c>
      <c r="C29" s="1184" t="s">
        <v>579</v>
      </c>
      <c r="D29" s="766">
        <v>2.6</v>
      </c>
      <c r="E29" s="1184" t="s">
        <v>580</v>
      </c>
      <c r="F29" s="766">
        <v>3.63</v>
      </c>
      <c r="G29" s="1184" t="s">
        <v>581</v>
      </c>
      <c r="H29" s="766">
        <v>15</v>
      </c>
    </row>
    <row r="30" spans="1:19">
      <c r="A30" s="1184"/>
      <c r="C30" s="1184"/>
      <c r="E30" s="1184"/>
      <c r="G30" s="1184"/>
    </row>
    <row r="31" spans="1:19" ht="15.75" customHeight="1">
      <c r="A31" s="1184"/>
      <c r="C31" s="1184"/>
      <c r="E31" s="1184"/>
      <c r="G31" s="1184"/>
    </row>
    <row r="32" spans="1:19" ht="21" customHeight="1">
      <c r="A32" s="1184"/>
      <c r="C32" s="1184"/>
      <c r="E32" s="1184"/>
      <c r="G32" s="1184"/>
    </row>
    <row r="35" spans="1:17" ht="15.75">
      <c r="A35" s="1165" t="s">
        <v>633</v>
      </c>
      <c r="B35" s="1165"/>
      <c r="C35" s="1165"/>
      <c r="D35" s="1165"/>
      <c r="E35" s="1165"/>
      <c r="F35" s="1165"/>
      <c r="G35" s="1165"/>
      <c r="H35" s="1165"/>
      <c r="J35" s="1165" t="s">
        <v>632</v>
      </c>
      <c r="K35" s="1165"/>
      <c r="L35" s="1165"/>
      <c r="M35" s="1165"/>
      <c r="N35" s="1165"/>
      <c r="O35" s="1165"/>
      <c r="P35" s="1165"/>
      <c r="Q35" s="1165"/>
    </row>
    <row r="36" spans="1:17" ht="12.75">
      <c r="A36" s="766"/>
      <c r="B36" s="812" t="s">
        <v>560</v>
      </c>
      <c r="C36" s="812" t="s">
        <v>561</v>
      </c>
      <c r="D36" s="813" t="s">
        <v>563</v>
      </c>
      <c r="E36" s="812" t="s">
        <v>461</v>
      </c>
      <c r="F36" s="812" t="s">
        <v>569</v>
      </c>
      <c r="G36" s="812" t="s">
        <v>571</v>
      </c>
      <c r="H36" s="813" t="s">
        <v>363</v>
      </c>
      <c r="J36" s="766"/>
      <c r="K36" s="813" t="s">
        <v>560</v>
      </c>
      <c r="L36" s="813" t="s">
        <v>561</v>
      </c>
      <c r="M36" s="813" t="s">
        <v>563</v>
      </c>
      <c r="N36" s="813" t="s">
        <v>461</v>
      </c>
      <c r="O36" s="813" t="s">
        <v>569</v>
      </c>
      <c r="P36" s="813" t="s">
        <v>571</v>
      </c>
      <c r="Q36" s="813" t="s">
        <v>363</v>
      </c>
    </row>
    <row r="37" spans="1:17">
      <c r="A37" s="766" t="s">
        <v>479</v>
      </c>
      <c r="B37" s="766">
        <v>2.2499999999999999E-4</v>
      </c>
      <c r="C37" s="766">
        <v>2.0100000000000001E-4</v>
      </c>
      <c r="D37" s="766">
        <v>9.373999999999999E-2</v>
      </c>
      <c r="E37" s="766">
        <v>2.7000000000000001E-7</v>
      </c>
      <c r="F37" s="766">
        <v>8.9999999999999998E-4</v>
      </c>
      <c r="G37" s="766">
        <v>1.5799999999999999E-4</v>
      </c>
      <c r="H37" s="766">
        <v>2.0116227089852479E-3</v>
      </c>
      <c r="J37" s="766" t="s">
        <v>479</v>
      </c>
      <c r="K37" s="803">
        <f>78/1000000</f>
        <v>7.7999999999999999E-5</v>
      </c>
      <c r="L37" s="803">
        <f>70/1000000</f>
        <v>6.9999999999999994E-5</v>
      </c>
      <c r="M37" s="803">
        <f>93.74/1000000</f>
        <v>9.3739999999999994E-5</v>
      </c>
      <c r="N37" s="803">
        <f>0.079/1000000</f>
        <v>7.9000000000000006E-8</v>
      </c>
      <c r="O37" s="803">
        <f>450/1000000</f>
        <v>4.4999999999999999E-4</v>
      </c>
      <c r="P37" s="766">
        <v>1.5799999999999999E-4</v>
      </c>
      <c r="Q37" s="766">
        <f>H38*30%</f>
        <v>0</v>
      </c>
    </row>
    <row r="38" spans="1:17">
      <c r="A38" s="766" t="s">
        <v>480</v>
      </c>
      <c r="B38" s="766">
        <v>0</v>
      </c>
      <c r="C38" s="766">
        <v>0</v>
      </c>
      <c r="D38" s="971"/>
      <c r="E38" s="766">
        <v>0</v>
      </c>
      <c r="F38" s="766">
        <v>0</v>
      </c>
      <c r="G38" s="766">
        <v>0</v>
      </c>
      <c r="H38" s="766">
        <v>0</v>
      </c>
      <c r="J38" s="766" t="s">
        <v>480</v>
      </c>
      <c r="K38" s="803">
        <f>B38</f>
        <v>0</v>
      </c>
      <c r="L38" s="803">
        <f t="shared" ref="L38:O39" si="2">C38</f>
        <v>0</v>
      </c>
      <c r="M38" s="803">
        <f t="shared" si="2"/>
        <v>0</v>
      </c>
      <c r="N38" s="803">
        <f t="shared" si="2"/>
        <v>0</v>
      </c>
      <c r="O38" s="803">
        <f t="shared" si="2"/>
        <v>0</v>
      </c>
      <c r="P38" s="766">
        <v>0</v>
      </c>
      <c r="Q38" s="881">
        <f>H38*30%</f>
        <v>0</v>
      </c>
    </row>
    <row r="39" spans="1:17">
      <c r="A39" s="766" t="s">
        <v>331</v>
      </c>
      <c r="B39" s="766">
        <v>4.9999999999999998E-7</v>
      </c>
      <c r="C39" s="766">
        <v>4.9999999999999998E-7</v>
      </c>
      <c r="D39" s="766">
        <v>5.5820000000000002E-2</v>
      </c>
      <c r="E39" s="766">
        <v>0</v>
      </c>
      <c r="F39" s="766">
        <v>4.9999999999999998E-7</v>
      </c>
      <c r="G39" s="766">
        <v>5.0000000000000002E-5</v>
      </c>
      <c r="H39" s="766">
        <v>7.5000000000000002E-6</v>
      </c>
      <c r="J39" s="766" t="s">
        <v>331</v>
      </c>
      <c r="K39" s="803">
        <f>B39</f>
        <v>4.9999999999999998E-7</v>
      </c>
      <c r="L39" s="803">
        <f t="shared" si="2"/>
        <v>4.9999999999999998E-7</v>
      </c>
      <c r="M39" s="803">
        <f t="shared" si="2"/>
        <v>5.5820000000000002E-2</v>
      </c>
      <c r="N39" s="803">
        <f t="shared" si="2"/>
        <v>0</v>
      </c>
      <c r="O39" s="803">
        <f t="shared" si="2"/>
        <v>4.9999999999999998E-7</v>
      </c>
      <c r="P39" s="803">
        <f t="shared" ref="P39" si="3">G39</f>
        <v>5.0000000000000002E-5</v>
      </c>
      <c r="Q39" s="881">
        <f>H39*30%</f>
        <v>2.2500000000000001E-6</v>
      </c>
    </row>
    <row r="40" spans="1:17">
      <c r="A40" s="766" t="s">
        <v>335</v>
      </c>
      <c r="B40" s="766">
        <v>4.8000000000000001E-4</v>
      </c>
      <c r="C40" s="766">
        <v>4.6999999999999999E-4</v>
      </c>
      <c r="D40" s="766">
        <v>0</v>
      </c>
      <c r="E40" s="766">
        <v>1.2100000000000001E-7</v>
      </c>
      <c r="F40" s="766">
        <v>1.1E-5</v>
      </c>
      <c r="G40" s="766">
        <v>8.0000000000000007E-5</v>
      </c>
      <c r="H40" s="766">
        <v>1.794E-4</v>
      </c>
      <c r="J40" s="766" t="s">
        <v>335</v>
      </c>
      <c r="K40" s="803">
        <f>34/1000000000</f>
        <v>3.4E-8</v>
      </c>
      <c r="L40" s="803">
        <f>33/1000000000</f>
        <v>3.2999999999999998E-8</v>
      </c>
      <c r="M40" s="803">
        <v>0</v>
      </c>
      <c r="N40" s="803">
        <f>10/1000000000</f>
        <v>1E-8</v>
      </c>
      <c r="O40" s="803">
        <f>11/1000000000</f>
        <v>1.0999999999999999E-8</v>
      </c>
      <c r="P40" s="766">
        <v>8.0000000000000007E-5</v>
      </c>
      <c r="Q40" s="881">
        <f t="shared" ref="Q40:Q41" si="4">H40*30%</f>
        <v>5.3819999999999996E-5</v>
      </c>
    </row>
    <row r="41" spans="1:17">
      <c r="A41" s="766" t="s">
        <v>337</v>
      </c>
      <c r="B41" s="766">
        <v>4.8000000000000001E-4</v>
      </c>
      <c r="C41" s="766">
        <v>4.6999999999999999E-4</v>
      </c>
      <c r="D41" s="766">
        <v>0</v>
      </c>
      <c r="E41" s="766">
        <v>1.2100000000000001E-7</v>
      </c>
      <c r="F41" s="766">
        <v>1.1E-5</v>
      </c>
      <c r="G41" s="766">
        <v>8.0000000000000007E-5</v>
      </c>
      <c r="H41" s="766">
        <v>1.794E-4</v>
      </c>
      <c r="J41" s="766" t="s">
        <v>337</v>
      </c>
      <c r="K41" s="803">
        <f>K40</f>
        <v>3.4E-8</v>
      </c>
      <c r="L41" s="803">
        <f t="shared" ref="L41:P41" si="5">L40</f>
        <v>3.2999999999999998E-8</v>
      </c>
      <c r="M41" s="803">
        <f t="shared" si="5"/>
        <v>0</v>
      </c>
      <c r="N41" s="803">
        <f t="shared" si="5"/>
        <v>1E-8</v>
      </c>
      <c r="O41" s="803">
        <f t="shared" si="5"/>
        <v>1.0999999999999999E-8</v>
      </c>
      <c r="P41" s="803">
        <f t="shared" si="5"/>
        <v>8.0000000000000007E-5</v>
      </c>
      <c r="Q41" s="881">
        <f t="shared" si="4"/>
        <v>5.3819999999999996E-5</v>
      </c>
    </row>
    <row r="42" spans="1:17">
      <c r="A42" s="766" t="s">
        <v>338</v>
      </c>
      <c r="B42" s="766">
        <v>3.0000000000000001E-6</v>
      </c>
      <c r="C42" s="766">
        <v>3.0000000000000001E-6</v>
      </c>
      <c r="D42" s="766">
        <v>7.6590000000000005E-2</v>
      </c>
      <c r="E42" s="766">
        <v>1E-8</v>
      </c>
      <c r="F42" s="766">
        <v>1.3999999999999999E-4</v>
      </c>
      <c r="G42" s="766">
        <v>6.9999999999999994E-5</v>
      </c>
      <c r="H42" s="766">
        <v>1.625355393043083E-5</v>
      </c>
      <c r="J42" s="766" t="s">
        <v>338</v>
      </c>
      <c r="K42" s="803">
        <f>B42</f>
        <v>3.0000000000000001E-6</v>
      </c>
      <c r="L42" s="803">
        <f t="shared" ref="L42:Q42" si="6">C42</f>
        <v>3.0000000000000001E-6</v>
      </c>
      <c r="M42" s="803">
        <f t="shared" si="6"/>
        <v>7.6590000000000005E-2</v>
      </c>
      <c r="N42" s="803">
        <f t="shared" si="6"/>
        <v>1E-8</v>
      </c>
      <c r="O42" s="803">
        <f t="shared" si="6"/>
        <v>1.3999999999999999E-4</v>
      </c>
      <c r="P42" s="803">
        <f t="shared" si="6"/>
        <v>6.9999999999999994E-5</v>
      </c>
      <c r="Q42" s="803">
        <f t="shared" si="6"/>
        <v>1.625355393043083E-5</v>
      </c>
    </row>
    <row r="43" spans="1:17">
      <c r="A43" s="766" t="s">
        <v>481</v>
      </c>
      <c r="B43" s="766"/>
      <c r="C43" s="766"/>
      <c r="D43" s="766">
        <v>0.81200000000000006</v>
      </c>
      <c r="E43" s="766"/>
      <c r="F43" s="766"/>
      <c r="G43" s="766"/>
      <c r="H43" s="766"/>
      <c r="J43" s="766" t="s">
        <v>481</v>
      </c>
      <c r="K43" s="803">
        <v>2.0116227089852479E-3</v>
      </c>
      <c r="L43" s="803">
        <v>7.5000000000000002E-6</v>
      </c>
      <c r="M43" s="803">
        <v>1.794E-4</v>
      </c>
      <c r="N43" s="803">
        <v>1.794E-4</v>
      </c>
      <c r="O43" s="803">
        <v>1.625355393043083E-5</v>
      </c>
      <c r="P43" s="766"/>
      <c r="Q43" s="766"/>
    </row>
    <row r="44" spans="1:17">
      <c r="A44" s="794">
        <f>W44</f>
        <v>0</v>
      </c>
    </row>
    <row r="45" spans="1:17" ht="12" thickBot="1"/>
    <row r="46" spans="1:17" ht="12.75" thickBot="1">
      <c r="A46" s="1166" t="s">
        <v>605</v>
      </c>
      <c r="B46" s="1169" t="s">
        <v>606</v>
      </c>
      <c r="C46" s="1170"/>
      <c r="D46" s="1170"/>
      <c r="E46" s="1170"/>
      <c r="F46" s="1170"/>
      <c r="G46" s="1170"/>
      <c r="H46" s="1171"/>
    </row>
    <row r="47" spans="1:17" ht="12" customHeight="1">
      <c r="A47" s="1167"/>
      <c r="B47" s="1166" t="s">
        <v>420</v>
      </c>
      <c r="C47" s="1172" t="s">
        <v>607</v>
      </c>
      <c r="D47" s="1173"/>
      <c r="E47" s="1166" t="s">
        <v>609</v>
      </c>
      <c r="F47" s="854"/>
      <c r="G47" s="1172" t="s">
        <v>610</v>
      </c>
      <c r="H47" s="1173"/>
    </row>
    <row r="48" spans="1:17" ht="12.75" thickBot="1">
      <c r="A48" s="1167"/>
      <c r="B48" s="1167"/>
      <c r="C48" s="1174" t="s">
        <v>608</v>
      </c>
      <c r="D48" s="1175"/>
      <c r="E48" s="1167"/>
      <c r="F48" s="854" t="s">
        <v>298</v>
      </c>
      <c r="G48" s="1174"/>
      <c r="H48" s="1175"/>
    </row>
    <row r="49" spans="1:8" ht="48.75" thickBot="1">
      <c r="A49" s="1168"/>
      <c r="B49" s="1168"/>
      <c r="C49" s="861" t="s">
        <v>611</v>
      </c>
      <c r="D49" s="882" t="s">
        <v>612</v>
      </c>
      <c r="E49" s="1168"/>
      <c r="F49" s="860"/>
      <c r="G49" s="861" t="s">
        <v>611</v>
      </c>
      <c r="H49" s="861" t="s">
        <v>612</v>
      </c>
    </row>
    <row r="50" spans="1:8" ht="12.75" thickBot="1">
      <c r="A50" s="862" t="s">
        <v>613</v>
      </c>
      <c r="B50" s="863" t="s">
        <v>614</v>
      </c>
      <c r="C50" s="863">
        <v>225</v>
      </c>
      <c r="D50" s="883">
        <v>78</v>
      </c>
      <c r="E50" s="880">
        <v>0.5</v>
      </c>
      <c r="F50" s="863">
        <v>3</v>
      </c>
      <c r="G50" s="863">
        <v>480</v>
      </c>
      <c r="H50" s="880">
        <v>34</v>
      </c>
    </row>
    <row r="51" spans="1:8" ht="12.75" thickBot="1">
      <c r="A51" s="862" t="s">
        <v>615</v>
      </c>
      <c r="B51" s="863" t="s">
        <v>614</v>
      </c>
      <c r="C51" s="863">
        <v>201</v>
      </c>
      <c r="D51" s="883">
        <v>70</v>
      </c>
      <c r="E51" s="880">
        <v>0.5</v>
      </c>
      <c r="F51" s="863">
        <v>3</v>
      </c>
      <c r="G51" s="863">
        <v>470</v>
      </c>
      <c r="H51" s="880">
        <v>33</v>
      </c>
    </row>
    <row r="52" spans="1:8" ht="14.25" thickBot="1">
      <c r="A52" s="862" t="s">
        <v>616</v>
      </c>
      <c r="B52" s="863" t="s">
        <v>617</v>
      </c>
      <c r="C52" s="863">
        <v>93.74</v>
      </c>
      <c r="D52" s="883">
        <v>93.74</v>
      </c>
      <c r="E52" s="880">
        <v>55.82</v>
      </c>
      <c r="F52" s="863">
        <v>76.59</v>
      </c>
      <c r="G52" s="863">
        <v>0</v>
      </c>
      <c r="H52" s="880">
        <v>0</v>
      </c>
    </row>
    <row r="53" spans="1:8" ht="12.75" thickBot="1">
      <c r="A53" s="862" t="s">
        <v>618</v>
      </c>
      <c r="B53" s="863" t="s">
        <v>619</v>
      </c>
      <c r="C53" s="863">
        <v>270</v>
      </c>
      <c r="D53" s="883">
        <v>7.9000000000000001E-2</v>
      </c>
      <c r="E53" s="880" t="s">
        <v>620</v>
      </c>
      <c r="F53" s="863">
        <v>10</v>
      </c>
      <c r="G53" s="863">
        <v>121</v>
      </c>
      <c r="H53" s="880">
        <v>10</v>
      </c>
    </row>
    <row r="54" spans="1:8" ht="14.25" thickBot="1">
      <c r="A54" s="862" t="s">
        <v>621</v>
      </c>
      <c r="B54" s="863" t="s">
        <v>614</v>
      </c>
      <c r="C54" s="863">
        <v>900</v>
      </c>
      <c r="D54" s="883">
        <v>450</v>
      </c>
      <c r="E54" s="880">
        <v>0.5</v>
      </c>
      <c r="F54" s="863">
        <v>140</v>
      </c>
      <c r="G54" s="863">
        <v>11</v>
      </c>
      <c r="H54" s="880">
        <v>11</v>
      </c>
    </row>
    <row r="55" spans="1:8" ht="14.25" thickBot="1">
      <c r="A55" s="862" t="s">
        <v>622</v>
      </c>
      <c r="B55" s="863" t="s">
        <v>614</v>
      </c>
      <c r="C55" s="863">
        <v>158</v>
      </c>
      <c r="D55" s="883">
        <v>165</v>
      </c>
      <c r="E55" s="880">
        <v>50</v>
      </c>
      <c r="F55" s="863">
        <v>70</v>
      </c>
      <c r="G55" s="863">
        <v>80</v>
      </c>
      <c r="H55" s="880">
        <v>91</v>
      </c>
    </row>
    <row r="58" spans="1:8">
      <c r="C58" s="742">
        <f>D50/C50</f>
        <v>0.34666666666666668</v>
      </c>
    </row>
  </sheetData>
  <mergeCells count="16">
    <mergeCell ref="J2:L2"/>
    <mergeCell ref="J11:K11"/>
    <mergeCell ref="A17:J17"/>
    <mergeCell ref="A29:A32"/>
    <mergeCell ref="C29:C32"/>
    <mergeCell ref="E29:E32"/>
    <mergeCell ref="G29:G32"/>
    <mergeCell ref="J35:Q35"/>
    <mergeCell ref="A35:H35"/>
    <mergeCell ref="A46:A49"/>
    <mergeCell ref="B46:H46"/>
    <mergeCell ref="B47:B49"/>
    <mergeCell ref="C47:D47"/>
    <mergeCell ref="C48:D48"/>
    <mergeCell ref="E47:E49"/>
    <mergeCell ref="G47:H48"/>
  </mergeCells>
  <dataValidations count="1">
    <dataValidation type="list" allowBlank="1" showInputMessage="1" showErrorMessage="1" sqref="E16 A37:A42 J37:J42" xr:uid="{31EBA5BF-3DE0-4AEB-92FA-745DB3107753}">
      <formula1>$A$4:$A$10</formula1>
    </dataValidation>
  </dataValidations>
  <pageMargins left="0.7" right="0.7" top="0.75" bottom="0.75" header="0.3" footer="0.3"/>
  <pageSetup paperSize="9" scale="99" orientation="landscape" r:id="rId1"/>
  <colBreaks count="1" manualBreakCount="1">
    <brk id="12" max="26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4"/>
  <sheetViews>
    <sheetView topLeftCell="D1" workbookViewId="0">
      <selection activeCell="J105" sqref="J105"/>
    </sheetView>
  </sheetViews>
  <sheetFormatPr defaultRowHeight="12.75"/>
  <cols>
    <col min="2" max="2" width="15.5703125" customWidth="1"/>
    <col min="3" max="3" width="12.42578125" customWidth="1"/>
    <col min="4" max="4" width="11.5703125" customWidth="1"/>
    <col min="9" max="9" width="11.85546875" customWidth="1"/>
    <col min="10" max="10" width="16" bestFit="1" customWidth="1"/>
    <col min="11" max="14" width="13.5703125" bestFit="1" customWidth="1"/>
    <col min="15" max="15" width="14.85546875" customWidth="1"/>
    <col min="16" max="16" width="13.5703125" bestFit="1" customWidth="1"/>
    <col min="17" max="17" width="13.42578125" bestFit="1" customWidth="1"/>
    <col min="18" max="18" width="12.42578125" bestFit="1" customWidth="1"/>
    <col min="19" max="19" width="13.5703125" bestFit="1" customWidth="1"/>
  </cols>
  <sheetData>
    <row r="1" spans="1:19" ht="15.75">
      <c r="H1" s="70">
        <v>65876</v>
      </c>
      <c r="I1" s="70">
        <v>31040</v>
      </c>
      <c r="M1">
        <f>132500/614000</f>
        <v>0.21579804560260588</v>
      </c>
    </row>
    <row r="2" spans="1:19" ht="15.75">
      <c r="D2" s="67" t="s">
        <v>62</v>
      </c>
      <c r="E2" s="68">
        <f>285600/2.6</f>
        <v>109846.15384615384</v>
      </c>
      <c r="H2" s="70">
        <v>24236</v>
      </c>
      <c r="I2" s="70">
        <v>11420</v>
      </c>
      <c r="N2" s="67" t="s">
        <v>64</v>
      </c>
      <c r="O2" s="68"/>
      <c r="P2">
        <f>R7*1.25</f>
        <v>310199.9232107813</v>
      </c>
      <c r="Q2">
        <f>R7-P2</f>
        <v>-62039.984642156283</v>
      </c>
      <c r="R2">
        <f>Q2/9000</f>
        <v>-6.8933316269062539</v>
      </c>
    </row>
    <row r="3" spans="1:19" ht="15.75">
      <c r="D3" s="67" t="s">
        <v>63</v>
      </c>
      <c r="E3" s="69">
        <f>130170/3</f>
        <v>43390</v>
      </c>
      <c r="L3" t="s">
        <v>255</v>
      </c>
      <c r="M3" t="s">
        <v>257</v>
      </c>
      <c r="O3" s="65" t="s">
        <v>294</v>
      </c>
      <c r="P3" s="256">
        <v>2003</v>
      </c>
    </row>
    <row r="4" spans="1:19">
      <c r="E4">
        <f>SUM(E2:E3)</f>
        <v>153236.15384615384</v>
      </c>
      <c r="F4">
        <f>E4/L7</f>
        <v>0.56970407601507145</v>
      </c>
      <c r="L4" s="225">
        <v>170000</v>
      </c>
      <c r="M4" t="s">
        <v>256</v>
      </c>
      <c r="N4" s="91">
        <f>L4/O4/0.0036*0.75</f>
        <v>131.67270812033337</v>
      </c>
      <c r="O4" s="11">
        <v>268975</v>
      </c>
      <c r="P4" s="256">
        <v>239640</v>
      </c>
      <c r="Q4">
        <f>13000/169000</f>
        <v>7.6923076923076927E-2</v>
      </c>
    </row>
    <row r="5" spans="1:19">
      <c r="N5">
        <f>M7*0.3</f>
        <v>54031.697999999997</v>
      </c>
      <c r="P5" s="170" t="s">
        <v>260</v>
      </c>
    </row>
    <row r="6" spans="1:19">
      <c r="F6">
        <v>258</v>
      </c>
      <c r="L6" s="39" t="s">
        <v>51</v>
      </c>
      <c r="M6" s="38" t="s">
        <v>44</v>
      </c>
      <c r="N6" s="65" t="s">
        <v>295</v>
      </c>
      <c r="O6" s="49" t="s">
        <v>59</v>
      </c>
      <c r="P6" s="38" t="s">
        <v>60</v>
      </c>
      <c r="Q6" s="170" t="s">
        <v>259</v>
      </c>
    </row>
    <row r="7" spans="1:19">
      <c r="A7" s="144">
        <v>1</v>
      </c>
      <c r="B7" s="145">
        <v>2</v>
      </c>
      <c r="C7" s="146"/>
      <c r="D7" s="1038">
        <v>3</v>
      </c>
      <c r="E7" s="1039"/>
      <c r="F7" s="145">
        <v>4</v>
      </c>
      <c r="G7" s="79"/>
      <c r="H7" s="34" t="s">
        <v>45</v>
      </c>
      <c r="I7" s="79"/>
      <c r="J7" s="34" t="s">
        <v>43</v>
      </c>
      <c r="K7" s="79"/>
      <c r="L7" s="85">
        <f>O4</f>
        <v>268975</v>
      </c>
      <c r="M7" s="85">
        <f>F10*L7*0.0036</f>
        <v>180105.66</v>
      </c>
      <c r="N7" s="143">
        <v>13800</v>
      </c>
      <c r="O7" s="79">
        <v>56100</v>
      </c>
      <c r="P7" s="85">
        <f>(M7+O7+N7)</f>
        <v>250005.66</v>
      </c>
      <c r="Q7" s="138">
        <f>P7+'CWU i pow.'!L14</f>
        <v>275733.26507625001</v>
      </c>
      <c r="R7" s="79">
        <f>Q7-Q7*0.1</f>
        <v>248159.93856862502</v>
      </c>
      <c r="S7" s="84" t="s">
        <v>29</v>
      </c>
    </row>
    <row r="8" spans="1:19">
      <c r="A8" s="1040" t="s">
        <v>7</v>
      </c>
      <c r="B8" s="1040" t="s">
        <v>8</v>
      </c>
      <c r="C8" s="1040" t="s">
        <v>38</v>
      </c>
      <c r="D8" s="1042" t="s">
        <v>9</v>
      </c>
      <c r="E8" s="1036"/>
      <c r="F8" s="1052" t="s">
        <v>10</v>
      </c>
      <c r="G8" s="79"/>
      <c r="H8" s="34" t="s">
        <v>35</v>
      </c>
      <c r="I8" s="79"/>
      <c r="J8" s="79"/>
      <c r="K8" s="84" t="s">
        <v>64</v>
      </c>
      <c r="L8" s="79">
        <f>L7*0.25</f>
        <v>67243.75</v>
      </c>
      <c r="M8" s="79">
        <f>L8*B14*0.0036</f>
        <v>21786.974999999999</v>
      </c>
      <c r="N8" s="79">
        <f>M8*1.3</f>
        <v>28323.067499999997</v>
      </c>
      <c r="O8" s="79">
        <f>N8+35000</f>
        <v>63323.067499999997</v>
      </c>
      <c r="P8" s="79">
        <f>O8/0.75</f>
        <v>84430.756666666668</v>
      </c>
      <c r="Q8" s="79">
        <f>L8/0.7</f>
        <v>96062.5</v>
      </c>
      <c r="R8" s="79">
        <f>Q8-Q8*0.1</f>
        <v>86456.25</v>
      </c>
      <c r="S8" s="79">
        <f>R8/9000</f>
        <v>9.6062499999999993</v>
      </c>
    </row>
    <row r="9" spans="1:19">
      <c r="A9" s="1041"/>
      <c r="B9" s="1041"/>
      <c r="C9" s="1041"/>
      <c r="D9" s="1185"/>
      <c r="E9" s="1037"/>
      <c r="F9" s="1053"/>
      <c r="G9" s="79"/>
      <c r="H9" s="79"/>
      <c r="I9" s="79"/>
      <c r="J9" s="79"/>
      <c r="K9" s="79"/>
      <c r="L9" s="79">
        <f>K27</f>
        <v>69446.016666666663</v>
      </c>
      <c r="M9" s="79">
        <f>F12*L9*0.0036</f>
        <v>0</v>
      </c>
      <c r="N9" s="79">
        <f>M9*1.3</f>
        <v>0</v>
      </c>
      <c r="O9" s="79">
        <f>N9+35000</f>
        <v>35000</v>
      </c>
      <c r="P9" s="79">
        <f>O9/0.75</f>
        <v>46666.666666666664</v>
      </c>
      <c r="Q9" s="79">
        <f>P35/0.7</f>
        <v>0</v>
      </c>
      <c r="R9" s="79">
        <f>Q9-Q9*0.1</f>
        <v>0</v>
      </c>
      <c r="S9" s="79"/>
    </row>
    <row r="10" spans="1:19">
      <c r="A10" s="147" t="s">
        <v>11</v>
      </c>
      <c r="B10" s="147">
        <v>280</v>
      </c>
      <c r="C10" s="147" t="s">
        <v>57</v>
      </c>
      <c r="D10" s="1186">
        <v>0.21</v>
      </c>
      <c r="E10" s="1187"/>
      <c r="F10" s="1188">
        <v>186</v>
      </c>
      <c r="G10" s="79">
        <f>B10*D10</f>
        <v>58.8</v>
      </c>
      <c r="H10" s="34" t="s">
        <v>30</v>
      </c>
      <c r="I10" s="79"/>
      <c r="J10" s="79"/>
      <c r="K10" s="79"/>
      <c r="L10" s="79"/>
      <c r="M10" s="79"/>
      <c r="N10" s="79"/>
      <c r="O10" s="79"/>
      <c r="P10" s="79">
        <f>O10*1.1</f>
        <v>0</v>
      </c>
      <c r="Q10" s="79"/>
      <c r="R10" s="79"/>
      <c r="S10" s="79"/>
    </row>
    <row r="11" spans="1:19" ht="25.5">
      <c r="A11" s="148" t="s">
        <v>12</v>
      </c>
      <c r="B11" s="149">
        <v>240</v>
      </c>
      <c r="C11" s="149" t="s">
        <v>39</v>
      </c>
      <c r="D11" s="1186">
        <v>0.31</v>
      </c>
      <c r="E11" s="1187"/>
      <c r="F11" s="1189"/>
      <c r="G11" s="79">
        <f>B11*D11</f>
        <v>74.400000000000006</v>
      </c>
      <c r="H11" s="34" t="s">
        <v>36</v>
      </c>
      <c r="I11" s="79">
        <v>1.3</v>
      </c>
      <c r="J11" s="79">
        <f>D11*I11</f>
        <v>0.40300000000000002</v>
      </c>
      <c r="K11" s="79">
        <f>$L$7*J11</f>
        <v>108396.925</v>
      </c>
      <c r="L11" s="79"/>
      <c r="M11" s="79"/>
      <c r="N11" s="79">
        <v>13800</v>
      </c>
      <c r="O11" s="79">
        <f>16257</f>
        <v>16257</v>
      </c>
      <c r="P11" s="79">
        <f>O11*1.1</f>
        <v>17882.7</v>
      </c>
      <c r="Q11" s="79"/>
      <c r="R11" s="143">
        <f>P7*0.1</f>
        <v>25000.566000000003</v>
      </c>
      <c r="S11" s="143">
        <f>P7*0.3</f>
        <v>75001.698000000004</v>
      </c>
    </row>
    <row r="12" spans="1:19" ht="25.5">
      <c r="A12" s="150" t="s">
        <v>13</v>
      </c>
      <c r="B12" s="150">
        <v>160</v>
      </c>
      <c r="C12" s="148" t="s">
        <v>40</v>
      </c>
      <c r="D12" s="1186">
        <v>0.12</v>
      </c>
      <c r="E12" s="1187"/>
      <c r="F12" s="1189"/>
      <c r="G12" s="79">
        <f>B12*D12</f>
        <v>19.2</v>
      </c>
      <c r="H12" s="34" t="s">
        <v>32</v>
      </c>
      <c r="I12" s="79">
        <v>1</v>
      </c>
      <c r="J12" s="79">
        <f>D12*I12</f>
        <v>0.12</v>
      </c>
      <c r="K12" s="79">
        <f>$L$7*J12</f>
        <v>32277</v>
      </c>
      <c r="L12" s="79">
        <v>169</v>
      </c>
      <c r="M12" s="79">
        <v>56</v>
      </c>
      <c r="N12" s="281">
        <f>O12*N11/O11</f>
        <v>15423.878944454696</v>
      </c>
      <c r="O12" s="79">
        <f>18170</f>
        <v>18170</v>
      </c>
      <c r="P12" s="79">
        <f>O12*1.1</f>
        <v>19987</v>
      </c>
      <c r="Q12" s="79"/>
      <c r="R12" s="79"/>
      <c r="S12" s="79"/>
    </row>
    <row r="13" spans="1:19" ht="25.5">
      <c r="A13" s="150" t="s">
        <v>90</v>
      </c>
      <c r="B13" s="150">
        <v>120</v>
      </c>
      <c r="C13" s="150" t="s">
        <v>41</v>
      </c>
      <c r="D13" s="1186">
        <v>0.09</v>
      </c>
      <c r="E13" s="1187"/>
      <c r="F13" s="1189"/>
      <c r="G13" s="79">
        <f>B13*D13</f>
        <v>10.799999999999999</v>
      </c>
      <c r="H13" s="34" t="s">
        <v>33</v>
      </c>
      <c r="I13" s="79">
        <v>0.8</v>
      </c>
      <c r="J13" s="79">
        <f>D13*I13</f>
        <v>7.1999999999999995E-2</v>
      </c>
      <c r="K13" s="79">
        <f>$L$7*J13</f>
        <v>19366.199999999997</v>
      </c>
      <c r="L13" s="143">
        <f>M13*L12</f>
        <v>56.000000000000007</v>
      </c>
      <c r="M13" s="143">
        <f>M12/L12</f>
        <v>0.33136094674556216</v>
      </c>
      <c r="N13" s="287">
        <f>N12/O12</f>
        <v>0.84886510426277906</v>
      </c>
      <c r="O13" s="79">
        <f>70400+M7+45000</f>
        <v>295505.66000000003</v>
      </c>
      <c r="P13" s="79">
        <f>O13*1.1</f>
        <v>325056.22600000008</v>
      </c>
      <c r="Q13" s="79" t="s">
        <v>47</v>
      </c>
      <c r="R13" s="79"/>
      <c r="S13" s="79"/>
    </row>
    <row r="14" spans="1:19">
      <c r="A14" s="150">
        <v>1998</v>
      </c>
      <c r="B14" s="150">
        <v>90</v>
      </c>
      <c r="C14" s="150" t="s">
        <v>42</v>
      </c>
      <c r="D14" s="1186">
        <v>0.27</v>
      </c>
      <c r="E14" s="1187"/>
      <c r="F14" s="1190"/>
      <c r="G14" s="79">
        <f>B14*D14</f>
        <v>24.3</v>
      </c>
      <c r="H14" s="79"/>
      <c r="I14" s="79">
        <v>0.35</v>
      </c>
      <c r="J14" s="79">
        <f>D14*I14</f>
        <v>9.4500000000000001E-2</v>
      </c>
      <c r="K14" s="79">
        <f>$L$7*J14</f>
        <v>25418.137500000001</v>
      </c>
      <c r="L14" s="79"/>
      <c r="M14" s="79"/>
      <c r="N14" s="79"/>
      <c r="O14" s="79"/>
      <c r="P14" s="79"/>
      <c r="Q14" s="79"/>
      <c r="R14" s="79"/>
      <c r="S14" s="79"/>
    </row>
    <row r="15" spans="1:19">
      <c r="A15" s="10" t="s">
        <v>37</v>
      </c>
      <c r="B15" s="79"/>
      <c r="C15" s="79"/>
      <c r="D15" s="79"/>
      <c r="E15" s="79"/>
      <c r="F15" s="79"/>
      <c r="G15" s="151">
        <f>SUM(G10:G14)</f>
        <v>187.5</v>
      </c>
      <c r="H15" s="34" t="s">
        <v>34</v>
      </c>
      <c r="I15" s="79"/>
      <c r="J15" s="79"/>
      <c r="K15" s="79">
        <f>SUM(K11:K14)</f>
        <v>185458.26250000001</v>
      </c>
      <c r="L15" s="79"/>
      <c r="M15">
        <f>M7/K15</f>
        <v>0.97113850616388686</v>
      </c>
    </row>
    <row r="16" spans="1:19">
      <c r="C16" s="84" t="s">
        <v>67</v>
      </c>
      <c r="D16" s="79"/>
      <c r="K16" s="217" t="s">
        <v>258</v>
      </c>
      <c r="M16">
        <v>169219</v>
      </c>
      <c r="N16" t="s">
        <v>296</v>
      </c>
    </row>
    <row r="17" spans="1:17">
      <c r="C17" s="84" t="s">
        <v>68</v>
      </c>
      <c r="D17" s="79"/>
      <c r="J17" s="91">
        <f>J18*1000</f>
        <v>47222222.222222216</v>
      </c>
      <c r="K17" s="217" t="s">
        <v>19</v>
      </c>
      <c r="M17">
        <f>150000+90000+12000+4000+11800</f>
        <v>267800</v>
      </c>
      <c r="N17" s="91">
        <f>P7*0.05</f>
        <v>12500.283000000001</v>
      </c>
    </row>
    <row r="18" spans="1:17">
      <c r="C18" s="84" t="s">
        <v>69</v>
      </c>
      <c r="D18" s="79"/>
      <c r="I18" s="217">
        <f>149656+91319+12208+3979</f>
        <v>257162</v>
      </c>
      <c r="J18" s="91">
        <f>L4/3.6</f>
        <v>47222.222222222219</v>
      </c>
      <c r="K18" s="226">
        <f>J17/I18</f>
        <v>183.62830520147696</v>
      </c>
      <c r="L18">
        <f>M7*1.4</f>
        <v>252147.924</v>
      </c>
      <c r="N18" s="91">
        <f>P7*0.25</f>
        <v>62501.415000000001</v>
      </c>
      <c r="Q18">
        <f>0.3*R7</f>
        <v>74447.981570587508</v>
      </c>
    </row>
    <row r="19" spans="1:17" ht="13.5" thickBot="1">
      <c r="A19">
        <v>28</v>
      </c>
      <c r="B19" s="31">
        <v>0.17</v>
      </c>
      <c r="C19" s="1192">
        <v>0.24</v>
      </c>
      <c r="D19" s="1193"/>
      <c r="E19" s="1194">
        <v>0.42699999999999999</v>
      </c>
      <c r="F19" s="1195"/>
      <c r="G19" s="38" t="s">
        <v>53</v>
      </c>
      <c r="I19" s="217"/>
    </row>
    <row r="20" spans="1:17" ht="13.5" thickBot="1">
      <c r="A20">
        <v>23</v>
      </c>
      <c r="B20" s="31">
        <v>0.15</v>
      </c>
      <c r="C20" s="1192">
        <v>0.24</v>
      </c>
      <c r="D20" s="1193"/>
      <c r="E20" s="1194">
        <v>0.28799999999999998</v>
      </c>
      <c r="F20" s="1195"/>
      <c r="G20" s="47">
        <v>9575.0400000000009</v>
      </c>
      <c r="I20" s="217"/>
    </row>
    <row r="21" spans="1:17" ht="13.5" thickBot="1">
      <c r="A21">
        <v>9</v>
      </c>
      <c r="B21" s="31">
        <v>7.0000000000000007E-2</v>
      </c>
      <c r="C21" s="1192">
        <v>0.16</v>
      </c>
      <c r="D21" s="1193"/>
      <c r="E21" s="1194">
        <v>3.5000000000000003E-2</v>
      </c>
      <c r="F21" s="1195"/>
      <c r="G21" s="48">
        <v>155049.53</v>
      </c>
      <c r="I21" s="217">
        <v>284018</v>
      </c>
      <c r="K21" s="38" t="s">
        <v>54</v>
      </c>
      <c r="L21" s="65" t="s">
        <v>86</v>
      </c>
      <c r="O21">
        <f>68/13</f>
        <v>5.2307692307692308</v>
      </c>
    </row>
    <row r="22" spans="1:17" ht="13.5" thickBot="1">
      <c r="A22">
        <f>A19/1.21</f>
        <v>23.140495867768596</v>
      </c>
      <c r="C22" s="79"/>
      <c r="D22" s="79"/>
      <c r="E22" s="46">
        <v>4215</v>
      </c>
      <c r="G22" s="48">
        <v>0</v>
      </c>
      <c r="I22" s="217">
        <v>268975</v>
      </c>
      <c r="K22" s="267">
        <v>363665</v>
      </c>
      <c r="L22" s="289" t="e">
        <f>K22-#REF!</f>
        <v>#REF!</v>
      </c>
      <c r="M22">
        <v>363665</v>
      </c>
    </row>
    <row r="23" spans="1:17" ht="13.5" thickBot="1">
      <c r="A23">
        <f>A20/1.21</f>
        <v>19.008264462809919</v>
      </c>
      <c r="C23" s="79">
        <v>47</v>
      </c>
      <c r="D23" s="79">
        <v>60</v>
      </c>
      <c r="E23" s="46">
        <v>4836.92</v>
      </c>
      <c r="G23" s="48">
        <v>2183.1799999999998</v>
      </c>
      <c r="J23" s="65" t="s">
        <v>200</v>
      </c>
      <c r="K23" s="92">
        <f>'bud uż publ'!L55-M23</f>
        <v>20442.02</v>
      </c>
      <c r="L23" s="65" t="s">
        <v>201</v>
      </c>
      <c r="M23" s="91">
        <f>'bud uż publ'!E95+'bud uż publ'!E31</f>
        <v>6019.06</v>
      </c>
    </row>
    <row r="24" spans="1:17" ht="13.5" thickBot="1">
      <c r="A24">
        <f>A21/1.21</f>
        <v>7.4380165289256199</v>
      </c>
      <c r="C24">
        <f>13/60</f>
        <v>0.21666666666666667</v>
      </c>
      <c r="D24">
        <f>D23/1.2667</f>
        <v>47.367174548038214</v>
      </c>
      <c r="E24" s="46">
        <v>7877.37</v>
      </c>
      <c r="G24" s="48">
        <v>0</v>
      </c>
      <c r="K24" s="140">
        <f>21371+20000</f>
        <v>41371</v>
      </c>
    </row>
    <row r="25" spans="1:17" ht="13.5" thickBot="1">
      <c r="B25" s="65" t="s">
        <v>202</v>
      </c>
      <c r="C25">
        <v>0.83</v>
      </c>
      <c r="D25">
        <f>C25/3.6*1000</f>
        <v>230.55555555555554</v>
      </c>
      <c r="E25" s="46">
        <v>2130.46</v>
      </c>
      <c r="G25" s="48">
        <v>0</v>
      </c>
      <c r="K25" s="141">
        <f>SUM(K22:K24)</f>
        <v>425478.02</v>
      </c>
      <c r="M25" s="63" t="s">
        <v>55</v>
      </c>
      <c r="N25" s="53"/>
    </row>
    <row r="26" spans="1:17" ht="13.5" thickBot="1">
      <c r="B26" s="65" t="s">
        <v>203</v>
      </c>
      <c r="C26">
        <v>0.4</v>
      </c>
      <c r="D26">
        <f>C26/3.6*1000</f>
        <v>111.11111111111111</v>
      </c>
      <c r="E26" s="46">
        <v>215</v>
      </c>
      <c r="G26" s="48">
        <v>1680.5</v>
      </c>
      <c r="M26" s="53" t="s">
        <v>56</v>
      </c>
      <c r="N26" s="53"/>
    </row>
    <row r="27" spans="1:17" ht="13.5" thickBot="1">
      <c r="B27" s="65" t="s">
        <v>204</v>
      </c>
      <c r="C27">
        <v>0.45</v>
      </c>
      <c r="D27">
        <f>C27/3.6*1000</f>
        <v>125</v>
      </c>
      <c r="E27" s="78">
        <v>633.19000000000005</v>
      </c>
      <c r="F27" s="79"/>
      <c r="G27" s="79">
        <f>SUM(G20:G26)</f>
        <v>168488.25</v>
      </c>
      <c r="K27" s="91">
        <f>P7/3.6</f>
        <v>69446.016666666663</v>
      </c>
      <c r="L27" s="65" t="s">
        <v>49</v>
      </c>
    </row>
    <row r="28" spans="1:17" ht="13.5" thickBot="1">
      <c r="E28" s="78">
        <v>793.7</v>
      </c>
      <c r="F28" s="79"/>
      <c r="G28" s="1191" t="s">
        <v>86</v>
      </c>
      <c r="H28" s="1191"/>
    </row>
    <row r="29" spans="1:17" ht="13.5" thickBot="1">
      <c r="B29" s="113" t="s">
        <v>88</v>
      </c>
      <c r="C29" s="114"/>
      <c r="D29" s="113" t="s">
        <v>89</v>
      </c>
      <c r="E29" s="78">
        <v>787</v>
      </c>
      <c r="F29" s="79"/>
      <c r="G29" s="109">
        <v>2010</v>
      </c>
      <c r="H29">
        <v>363665</v>
      </c>
      <c r="J29">
        <f>H29-H32</f>
        <v>120018</v>
      </c>
    </row>
    <row r="30" spans="1:17" ht="16.5" thickBot="1">
      <c r="B30" s="110" t="s">
        <v>65</v>
      </c>
      <c r="C30" s="111">
        <v>21</v>
      </c>
      <c r="D30" s="114">
        <v>0.19</v>
      </c>
      <c r="E30" s="78">
        <v>838</v>
      </c>
      <c r="F30" s="79"/>
      <c r="G30" s="109">
        <v>2000</v>
      </c>
      <c r="H30">
        <v>255364</v>
      </c>
      <c r="J30">
        <f>J29/H29</f>
        <v>0.33002351064853641</v>
      </c>
      <c r="L30" s="30">
        <v>33000</v>
      </c>
      <c r="O30">
        <f>286600/2.5</f>
        <v>114640</v>
      </c>
    </row>
    <row r="31" spans="1:17" ht="16.5" thickBot="1">
      <c r="B31" s="112" t="s">
        <v>12</v>
      </c>
      <c r="C31" s="111">
        <v>31</v>
      </c>
      <c r="D31" s="114">
        <v>0.28000000000000003</v>
      </c>
      <c r="E31" s="78">
        <v>834</v>
      </c>
      <c r="F31" s="79"/>
      <c r="G31" s="109">
        <v>1997</v>
      </c>
      <c r="H31">
        <v>246749</v>
      </c>
    </row>
    <row r="32" spans="1:17" ht="16.5" thickBot="1">
      <c r="B32" s="112" t="s">
        <v>13</v>
      </c>
      <c r="C32" s="111">
        <v>12</v>
      </c>
      <c r="D32" s="114">
        <v>0.11</v>
      </c>
      <c r="E32" s="79">
        <f>SUM(E20:E31)</f>
        <v>23160.963</v>
      </c>
      <c r="F32" s="79"/>
      <c r="G32" s="109">
        <v>1996</v>
      </c>
      <c r="H32">
        <v>243647</v>
      </c>
    </row>
    <row r="33" spans="2:16" ht="16.5" thickBot="1">
      <c r="B33" s="112" t="s">
        <v>87</v>
      </c>
      <c r="C33" s="111">
        <v>9</v>
      </c>
      <c r="D33" s="114">
        <v>0.08</v>
      </c>
      <c r="G33" s="109">
        <v>1995</v>
      </c>
      <c r="H33">
        <v>241934</v>
      </c>
      <c r="I33">
        <f>H30-H33</f>
        <v>13430</v>
      </c>
      <c r="J33">
        <f>I33/H29</f>
        <v>3.6929591794646173E-2</v>
      </c>
      <c r="P33">
        <f>340500+35000+102000</f>
        <v>477500</v>
      </c>
    </row>
    <row r="34" spans="2:16" ht="16.5" thickBot="1">
      <c r="B34" s="112" t="s">
        <v>15</v>
      </c>
      <c r="C34" s="111">
        <v>27</v>
      </c>
      <c r="D34" s="114">
        <v>0.34</v>
      </c>
      <c r="K34" s="60">
        <v>2671</v>
      </c>
      <c r="L34" s="60">
        <v>2671</v>
      </c>
      <c r="N34" s="60">
        <v>273.10000000000002</v>
      </c>
    </row>
    <row r="35" spans="2:16" ht="15.75" thickBot="1">
      <c r="C35">
        <f>SUM(C30:C34)</f>
        <v>100</v>
      </c>
      <c r="D35" s="114">
        <f>SUM(D30:D34)</f>
        <v>1</v>
      </c>
      <c r="I35" s="60">
        <v>273.10000000000002</v>
      </c>
      <c r="K35" s="61">
        <v>208</v>
      </c>
      <c r="L35" s="61">
        <v>208</v>
      </c>
      <c r="N35" s="61">
        <v>117.4</v>
      </c>
    </row>
    <row r="36" spans="2:16" ht="15.75" thickBot="1">
      <c r="I36" s="61">
        <v>117.4</v>
      </c>
      <c r="K36" s="62">
        <v>157</v>
      </c>
      <c r="L36" s="61">
        <v>157</v>
      </c>
      <c r="N36" s="61">
        <v>405.7</v>
      </c>
    </row>
    <row r="37" spans="2:16" ht="15.75" thickBot="1">
      <c r="I37" s="61">
        <v>405.7</v>
      </c>
      <c r="L37" s="61">
        <v>8</v>
      </c>
      <c r="N37" s="61">
        <v>75.7</v>
      </c>
    </row>
    <row r="38" spans="2:16" ht="15.75" thickBot="1">
      <c r="I38" s="61">
        <v>75.7</v>
      </c>
      <c r="L38" s="62">
        <v>3</v>
      </c>
      <c r="N38" s="62">
        <v>149.6</v>
      </c>
    </row>
    <row r="39" spans="2:16" ht="15.75" thickBot="1">
      <c r="I39" s="61">
        <v>149.6</v>
      </c>
    </row>
    <row r="40" spans="2:16" ht="15.75" thickBot="1">
      <c r="I40" s="61" t="s">
        <v>58</v>
      </c>
    </row>
    <row r="41" spans="2:16" ht="15.75" thickBot="1">
      <c r="I41" s="61" t="s">
        <v>58</v>
      </c>
    </row>
    <row r="42" spans="2:16" ht="15.75" thickBot="1">
      <c r="E42" s="65" t="s">
        <v>62</v>
      </c>
      <c r="F42">
        <f>285600/2.6</f>
        <v>109846.15384615384</v>
      </c>
      <c r="I42" s="61">
        <v>650</v>
      </c>
    </row>
    <row r="43" spans="2:16" ht="16.5" thickBot="1">
      <c r="E43" s="65" t="s">
        <v>63</v>
      </c>
      <c r="F43" s="66">
        <f>130170/3</f>
        <v>43390</v>
      </c>
      <c r="I43" s="61" t="s">
        <v>58</v>
      </c>
    </row>
    <row r="44" spans="2:16" ht="15.75" thickBot="1">
      <c r="I44" s="64">
        <v>19339</v>
      </c>
    </row>
    <row r="53" spans="2:10" ht="13.5" thickBot="1"/>
    <row r="54" spans="2:10" ht="16.5" thickBot="1">
      <c r="D54" s="50">
        <v>273.10000000000002</v>
      </c>
      <c r="F54" s="50">
        <v>2671</v>
      </c>
    </row>
    <row r="55" spans="2:10" ht="16.5" thickBot="1">
      <c r="D55" s="51">
        <v>117.4</v>
      </c>
      <c r="F55" s="51">
        <v>208</v>
      </c>
    </row>
    <row r="56" spans="2:10" ht="16.5" thickBot="1">
      <c r="D56" s="51">
        <v>405.7</v>
      </c>
      <c r="F56" s="51">
        <v>157</v>
      </c>
      <c r="I56" s="54">
        <v>64.8</v>
      </c>
      <c r="J56" s="55">
        <v>15151.4</v>
      </c>
    </row>
    <row r="57" spans="2:10" ht="16.5" thickBot="1">
      <c r="D57" s="51">
        <v>75.7</v>
      </c>
      <c r="F57" s="51">
        <v>8</v>
      </c>
      <c r="I57" s="56">
        <v>8.57</v>
      </c>
      <c r="J57" s="57">
        <v>775.3</v>
      </c>
    </row>
    <row r="58" spans="2:10" ht="16.5" thickBot="1">
      <c r="D58" s="51">
        <v>149.6</v>
      </c>
      <c r="F58" s="51">
        <v>3</v>
      </c>
      <c r="I58" s="56">
        <v>19.97</v>
      </c>
      <c r="J58" s="57">
        <v>4631.7</v>
      </c>
    </row>
    <row r="59" spans="2:10" ht="16.5" thickBot="1">
      <c r="D59" s="51" t="s">
        <v>58</v>
      </c>
      <c r="F59" s="51">
        <v>0</v>
      </c>
      <c r="I59" s="58">
        <v>42.16</v>
      </c>
      <c r="J59" s="59">
        <v>14655</v>
      </c>
    </row>
    <row r="60" spans="2:10" ht="16.5" thickBot="1">
      <c r="D60" s="51" t="s">
        <v>58</v>
      </c>
      <c r="F60" s="51">
        <v>0</v>
      </c>
      <c r="I60">
        <f>SUM(I56:I59)</f>
        <v>135.5</v>
      </c>
      <c r="J60">
        <f>SUM(J56:J59)</f>
        <v>35213.399999999994</v>
      </c>
    </row>
    <row r="61" spans="2:10" ht="16.5" thickBot="1">
      <c r="D61" s="51">
        <v>650</v>
      </c>
      <c r="F61" s="51">
        <v>1</v>
      </c>
    </row>
    <row r="62" spans="2:10" ht="16.5" thickBot="1">
      <c r="B62">
        <f>D62/C62</f>
        <v>11.569847442416991</v>
      </c>
      <c r="C62">
        <f>SUM(D54:D61)</f>
        <v>1671.5</v>
      </c>
      <c r="D62" s="52">
        <v>19339</v>
      </c>
      <c r="F62" s="51">
        <v>0</v>
      </c>
    </row>
    <row r="63" spans="2:10" ht="16.5" thickBot="1">
      <c r="F63" s="51">
        <v>1</v>
      </c>
    </row>
    <row r="64" spans="2:10">
      <c r="D64">
        <f>SUM(D54:D62)</f>
        <v>21010.5</v>
      </c>
      <c r="F64">
        <f>SUM(F54:F63)</f>
        <v>3049</v>
      </c>
    </row>
  </sheetData>
  <mergeCells count="19">
    <mergeCell ref="G28:H28"/>
    <mergeCell ref="C19:D19"/>
    <mergeCell ref="E19:F19"/>
    <mergeCell ref="C20:D20"/>
    <mergeCell ref="E20:F20"/>
    <mergeCell ref="C21:D21"/>
    <mergeCell ref="E21:F21"/>
    <mergeCell ref="D10:E10"/>
    <mergeCell ref="F10:F14"/>
    <mergeCell ref="D11:E11"/>
    <mergeCell ref="D12:E12"/>
    <mergeCell ref="D13:E13"/>
    <mergeCell ref="D14:E14"/>
    <mergeCell ref="F8:F9"/>
    <mergeCell ref="D7:E7"/>
    <mergeCell ref="A8:A9"/>
    <mergeCell ref="B8:B9"/>
    <mergeCell ref="C8:C9"/>
    <mergeCell ref="D8:E9"/>
  </mergeCell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4"/>
  <sheetViews>
    <sheetView topLeftCell="A4" zoomScale="85" zoomScaleNormal="85" workbookViewId="0">
      <selection activeCell="K41" sqref="K41"/>
    </sheetView>
  </sheetViews>
  <sheetFormatPr defaultRowHeight="12.75"/>
  <cols>
    <col min="2" max="2" width="15.5703125" customWidth="1"/>
    <col min="3" max="3" width="12.42578125" customWidth="1"/>
    <col min="4" max="4" width="11.5703125" customWidth="1"/>
    <col min="9" max="9" width="11.85546875" customWidth="1"/>
    <col min="11" max="14" width="13.5703125" bestFit="1" customWidth="1"/>
    <col min="15" max="15" width="14.85546875" customWidth="1"/>
    <col min="16" max="16" width="13.5703125" bestFit="1" customWidth="1"/>
    <col min="18" max="18" width="12.42578125" bestFit="1" customWidth="1"/>
    <col min="19" max="19" width="13.5703125" bestFit="1" customWidth="1"/>
  </cols>
  <sheetData>
    <row r="1" spans="1:19" ht="15.75">
      <c r="H1" s="70">
        <v>65876</v>
      </c>
      <c r="I1" s="70">
        <v>31040</v>
      </c>
      <c r="M1">
        <f>132500/614000</f>
        <v>0.21579804560260588</v>
      </c>
    </row>
    <row r="2" spans="1:19" ht="15.75">
      <c r="D2" s="67" t="s">
        <v>62</v>
      </c>
      <c r="E2" s="68">
        <f>285600/2.6</f>
        <v>109846.15384615384</v>
      </c>
      <c r="H2" s="70">
        <v>24236</v>
      </c>
      <c r="I2" s="70">
        <v>11420</v>
      </c>
      <c r="N2" s="67" t="s">
        <v>64</v>
      </c>
      <c r="O2" s="68"/>
      <c r="P2">
        <f>R7*1.25</f>
        <v>767410.71428571432</v>
      </c>
      <c r="Q2">
        <f>R7-P2</f>
        <v>-153482.14285714284</v>
      </c>
      <c r="R2">
        <f>Q2/9000</f>
        <v>-17.053571428571427</v>
      </c>
    </row>
    <row r="3" spans="1:19" ht="15.75">
      <c r="D3" s="67" t="s">
        <v>63</v>
      </c>
      <c r="E3" s="69">
        <f>130170/3</f>
        <v>43390</v>
      </c>
    </row>
    <row r="4" spans="1:19">
      <c r="E4">
        <f>SUM(E2:E3)</f>
        <v>153236.15384615384</v>
      </c>
      <c r="F4">
        <f>E4/L7</f>
        <v>5.7910014952584641</v>
      </c>
    </row>
    <row r="5" spans="1:19">
      <c r="N5">
        <f>M7*0.3</f>
        <v>5129.7449687999997</v>
      </c>
      <c r="P5" s="38" t="s">
        <v>61</v>
      </c>
    </row>
    <row r="6" spans="1:19">
      <c r="L6" s="39" t="s">
        <v>51</v>
      </c>
      <c r="M6" s="38" t="s">
        <v>44</v>
      </c>
      <c r="N6" s="38" t="s">
        <v>46</v>
      </c>
      <c r="O6" s="49" t="s">
        <v>59</v>
      </c>
      <c r="P6" s="38" t="s">
        <v>60</v>
      </c>
      <c r="Q6" s="45" t="s">
        <v>52</v>
      </c>
    </row>
    <row r="7" spans="1:19">
      <c r="A7" s="144">
        <v>1</v>
      </c>
      <c r="B7" s="145">
        <v>2</v>
      </c>
      <c r="C7" s="146"/>
      <c r="D7" s="1038">
        <v>3</v>
      </c>
      <c r="E7" s="1039"/>
      <c r="F7" s="145">
        <v>4</v>
      </c>
      <c r="G7" s="79"/>
      <c r="H7" s="34" t="s">
        <v>45</v>
      </c>
      <c r="I7" s="79"/>
      <c r="J7" s="34" t="s">
        <v>43</v>
      </c>
      <c r="K7" s="79"/>
      <c r="L7" s="85">
        <f>K23</f>
        <v>26461.08</v>
      </c>
      <c r="M7" s="85">
        <f>F10*L7*0.0036</f>
        <v>17099.149895999999</v>
      </c>
      <c r="N7" s="79"/>
      <c r="O7" s="79">
        <f>'CWU i pow.'!L14</f>
        <v>25727.605076250005</v>
      </c>
      <c r="P7" s="142">
        <f>(M7+O7)/0.7</f>
        <v>61181.078531785723</v>
      </c>
      <c r="Q7" s="79">
        <f>P33/0.7</f>
        <v>682142.85714285716</v>
      </c>
      <c r="R7" s="79">
        <f>Q7-Q7*0.1</f>
        <v>613928.57142857148</v>
      </c>
      <c r="S7" s="84" t="s">
        <v>29</v>
      </c>
    </row>
    <row r="8" spans="1:19">
      <c r="A8" s="1040" t="s">
        <v>7</v>
      </c>
      <c r="B8" s="1040" t="s">
        <v>8</v>
      </c>
      <c r="C8" s="1040" t="s">
        <v>38</v>
      </c>
      <c r="D8" s="1042" t="s">
        <v>9</v>
      </c>
      <c r="E8" s="1036"/>
      <c r="F8" s="1052" t="s">
        <v>10</v>
      </c>
      <c r="G8" s="79"/>
      <c r="H8" s="34" t="s">
        <v>35</v>
      </c>
      <c r="I8" s="79"/>
      <c r="J8" s="79"/>
      <c r="K8" s="84" t="s">
        <v>64</v>
      </c>
      <c r="L8" s="79">
        <f>L7*0.25</f>
        <v>6615.27</v>
      </c>
      <c r="M8" s="79">
        <f>L8*B14*0.0036</f>
        <v>2619.6469200000001</v>
      </c>
      <c r="N8" s="79">
        <f>M8*1.3</f>
        <v>3405.5409960000002</v>
      </c>
      <c r="O8" s="79">
        <f>N8+35000</f>
        <v>38405.540996000003</v>
      </c>
      <c r="P8" s="79">
        <f>O8/0.75</f>
        <v>51207.387994666671</v>
      </c>
      <c r="Q8" s="79">
        <f>L8/0.7</f>
        <v>9450.3857142857159</v>
      </c>
      <c r="R8" s="79">
        <f>Q8-Q8*0.1</f>
        <v>8505.3471428571447</v>
      </c>
      <c r="S8" s="79">
        <f>R8/9000</f>
        <v>0.94503857142857162</v>
      </c>
    </row>
    <row r="9" spans="1:19">
      <c r="A9" s="1041"/>
      <c r="B9" s="1041"/>
      <c r="C9" s="1041"/>
      <c r="D9" s="1185"/>
      <c r="E9" s="1037"/>
      <c r="F9" s="1053"/>
      <c r="G9" s="79"/>
      <c r="H9" s="79"/>
      <c r="I9" s="79"/>
      <c r="J9" s="79"/>
      <c r="K9" s="79"/>
      <c r="L9" s="79">
        <f>K27</f>
        <v>16994.744036607146</v>
      </c>
      <c r="M9" s="79">
        <f>F12*L9*0.0036</f>
        <v>0</v>
      </c>
      <c r="N9" s="79">
        <f>M9*1.3</f>
        <v>0</v>
      </c>
      <c r="O9" s="79">
        <f>N9+35000</f>
        <v>35000</v>
      </c>
      <c r="P9" s="79">
        <f>O9/0.75</f>
        <v>46666.666666666664</v>
      </c>
      <c r="Q9" s="79">
        <f>P35/0.7</f>
        <v>0</v>
      </c>
      <c r="R9" s="79">
        <f>Q9-Q9*0.1</f>
        <v>0</v>
      </c>
      <c r="S9" s="79"/>
    </row>
    <row r="10" spans="1:19">
      <c r="A10" s="147" t="s">
        <v>11</v>
      </c>
      <c r="B10" s="147">
        <v>300</v>
      </c>
      <c r="C10" s="147" t="s">
        <v>57</v>
      </c>
      <c r="D10" s="1186">
        <f>D30</f>
        <v>0.19</v>
      </c>
      <c r="E10" s="1187"/>
      <c r="F10" s="1196">
        <f>G15</f>
        <v>179.5</v>
      </c>
      <c r="G10" s="79">
        <f>B10*D10</f>
        <v>57</v>
      </c>
      <c r="H10" s="34" t="s">
        <v>30</v>
      </c>
      <c r="I10" s="79"/>
      <c r="J10" s="79"/>
      <c r="K10" s="79"/>
      <c r="L10" s="79"/>
      <c r="M10" s="79"/>
      <c r="N10" s="79"/>
      <c r="O10" s="79"/>
      <c r="P10" s="79">
        <f>O10*1.1</f>
        <v>0</v>
      </c>
      <c r="Q10" s="79"/>
      <c r="R10" s="79"/>
      <c r="S10" s="79"/>
    </row>
    <row r="11" spans="1:19" ht="25.5">
      <c r="A11" s="148" t="s">
        <v>12</v>
      </c>
      <c r="B11" s="149">
        <v>200</v>
      </c>
      <c r="C11" s="149" t="s">
        <v>39</v>
      </c>
      <c r="D11" s="1186">
        <f>D31</f>
        <v>0.28000000000000003</v>
      </c>
      <c r="E11" s="1187"/>
      <c r="F11" s="1197"/>
      <c r="G11" s="79">
        <f>B11*D11</f>
        <v>56.000000000000007</v>
      </c>
      <c r="H11" s="34" t="s">
        <v>36</v>
      </c>
      <c r="I11" s="79">
        <v>1.3</v>
      </c>
      <c r="J11" s="79">
        <f>D11*I11</f>
        <v>0.36400000000000005</v>
      </c>
      <c r="K11" s="79">
        <f>$L$7*J11</f>
        <v>9631.8331200000011</v>
      </c>
      <c r="L11" s="79"/>
      <c r="M11" s="79"/>
      <c r="N11" s="79"/>
      <c r="O11" s="79"/>
      <c r="P11" s="79">
        <f>O11*1.1</f>
        <v>0</v>
      </c>
      <c r="Q11" s="79"/>
      <c r="R11" s="143">
        <f>P7*0.1</f>
        <v>6118.1078531785724</v>
      </c>
      <c r="S11" s="143">
        <f>P7*0.3</f>
        <v>18354.323559535715</v>
      </c>
    </row>
    <row r="12" spans="1:19" ht="25.5">
      <c r="A12" s="150" t="s">
        <v>13</v>
      </c>
      <c r="B12" s="150">
        <v>170</v>
      </c>
      <c r="C12" s="148" t="s">
        <v>40</v>
      </c>
      <c r="D12" s="1186">
        <f>D32</f>
        <v>0.11</v>
      </c>
      <c r="E12" s="1187"/>
      <c r="F12" s="1197"/>
      <c r="G12" s="79">
        <f>B12*D12</f>
        <v>18.7</v>
      </c>
      <c r="H12" s="34" t="s">
        <v>32</v>
      </c>
      <c r="I12" s="79">
        <v>1</v>
      </c>
      <c r="J12" s="79">
        <f>D12*I12</f>
        <v>0.11</v>
      </c>
      <c r="K12" s="79">
        <f>$L$7*J12</f>
        <v>2910.7188000000001</v>
      </c>
      <c r="L12" s="79"/>
      <c r="M12" s="79"/>
      <c r="N12" s="79"/>
      <c r="O12" s="79"/>
      <c r="P12" s="79">
        <f>O12*1.1</f>
        <v>0</v>
      </c>
      <c r="Q12" s="79"/>
      <c r="R12" s="79"/>
      <c r="S12" s="79"/>
    </row>
    <row r="13" spans="1:19" ht="25.5">
      <c r="A13" s="150" t="s">
        <v>90</v>
      </c>
      <c r="B13" s="150">
        <v>130</v>
      </c>
      <c r="C13" s="150" t="s">
        <v>41</v>
      </c>
      <c r="D13" s="1186">
        <f>D33</f>
        <v>0.08</v>
      </c>
      <c r="E13" s="1187"/>
      <c r="F13" s="1197"/>
      <c r="G13" s="79">
        <f>B13*D13</f>
        <v>10.4</v>
      </c>
      <c r="H13" s="34" t="s">
        <v>33</v>
      </c>
      <c r="I13" s="79">
        <v>0.8</v>
      </c>
      <c r="J13" s="79">
        <f>D13*I13</f>
        <v>6.4000000000000001E-2</v>
      </c>
      <c r="K13" s="79">
        <f>$L$7*J13</f>
        <v>1693.5091200000002</v>
      </c>
      <c r="L13" s="79"/>
      <c r="M13" s="143"/>
      <c r="N13" s="79"/>
      <c r="O13" s="79">
        <f>70400+M7+45000</f>
        <v>132499.14989599999</v>
      </c>
      <c r="P13" s="79">
        <f>O13*1.1</f>
        <v>145749.0648856</v>
      </c>
      <c r="Q13" s="79" t="s">
        <v>47</v>
      </c>
      <c r="R13" s="79"/>
      <c r="S13" s="79"/>
    </row>
    <row r="14" spans="1:19">
      <c r="A14" s="150">
        <v>1998</v>
      </c>
      <c r="B14" s="150">
        <v>110</v>
      </c>
      <c r="C14" s="150" t="s">
        <v>42</v>
      </c>
      <c r="D14" s="1186">
        <f>D34</f>
        <v>0.34</v>
      </c>
      <c r="E14" s="1187"/>
      <c r="F14" s="1198"/>
      <c r="G14" s="79">
        <f>B14*D14</f>
        <v>37.400000000000006</v>
      </c>
      <c r="H14" s="79"/>
      <c r="I14" s="79">
        <v>0.35</v>
      </c>
      <c r="J14" s="79">
        <f>D14*I14</f>
        <v>0.11899999999999999</v>
      </c>
      <c r="K14" s="79">
        <f>$L$7*J14</f>
        <v>3148.86852</v>
      </c>
      <c r="L14" s="79"/>
      <c r="M14" s="79"/>
      <c r="N14" s="79"/>
      <c r="O14" s="79"/>
      <c r="P14" s="79"/>
      <c r="Q14" s="79"/>
      <c r="R14" s="79"/>
      <c r="S14" s="79"/>
    </row>
    <row r="15" spans="1:19">
      <c r="A15" s="10" t="s">
        <v>37</v>
      </c>
      <c r="B15" s="79"/>
      <c r="C15" s="79"/>
      <c r="D15" s="79"/>
      <c r="E15" s="79"/>
      <c r="F15" s="79"/>
      <c r="G15" s="151">
        <f>SUM(G10:G14)</f>
        <v>179.5</v>
      </c>
      <c r="H15" s="34" t="s">
        <v>34</v>
      </c>
      <c r="I15" s="79"/>
      <c r="J15" s="79"/>
      <c r="K15" s="79">
        <f>SUM(K11:K14)</f>
        <v>17384.929560000004</v>
      </c>
      <c r="L15" s="79"/>
      <c r="M15">
        <f>M7/K15</f>
        <v>0.98356164383561617</v>
      </c>
    </row>
    <row r="16" spans="1:19">
      <c r="C16" s="84" t="s">
        <v>67</v>
      </c>
      <c r="D16" s="79"/>
    </row>
    <row r="17" spans="1:17">
      <c r="C17" s="84" t="s">
        <v>68</v>
      </c>
      <c r="D17" s="79"/>
      <c r="N17" s="91">
        <f>P7*0.05</f>
        <v>3059.0539265892862</v>
      </c>
    </row>
    <row r="18" spans="1:17">
      <c r="C18" s="84" t="s">
        <v>69</v>
      </c>
      <c r="D18" s="79"/>
      <c r="L18">
        <f>M7*1.4</f>
        <v>23938.809854399999</v>
      </c>
      <c r="N18" s="91">
        <f>P7*0.25</f>
        <v>15295.269632946431</v>
      </c>
      <c r="Q18">
        <f>0.3*R7</f>
        <v>184178.57142857145</v>
      </c>
    </row>
    <row r="19" spans="1:17" ht="13.5" thickBot="1">
      <c r="A19">
        <v>28</v>
      </c>
      <c r="B19" s="31">
        <v>0.17</v>
      </c>
      <c r="C19" s="1192">
        <v>0.24</v>
      </c>
      <c r="D19" s="1193"/>
      <c r="E19" s="1194">
        <v>0.42699999999999999</v>
      </c>
      <c r="F19" s="1195"/>
      <c r="G19" s="38" t="s">
        <v>53</v>
      </c>
    </row>
    <row r="20" spans="1:17" ht="13.5" thickBot="1">
      <c r="A20">
        <v>23</v>
      </c>
      <c r="B20" s="31">
        <v>0.15</v>
      </c>
      <c r="C20" s="1192">
        <v>0.24</v>
      </c>
      <c r="D20" s="1193"/>
      <c r="E20" s="1194">
        <v>0.28799999999999998</v>
      </c>
      <c r="F20" s="1195"/>
      <c r="G20" s="47">
        <v>9575.0400000000009</v>
      </c>
    </row>
    <row r="21" spans="1:17" ht="13.5" thickBot="1">
      <c r="A21">
        <v>9</v>
      </c>
      <c r="B21" s="31">
        <v>7.0000000000000007E-2</v>
      </c>
      <c r="C21" s="1192">
        <v>0.16</v>
      </c>
      <c r="D21" s="1193"/>
      <c r="E21" s="1194">
        <v>3.5000000000000003E-2</v>
      </c>
      <c r="F21" s="1195"/>
      <c r="G21" s="48">
        <v>155049.53</v>
      </c>
      <c r="I21">
        <v>284018</v>
      </c>
      <c r="K21" s="38" t="s">
        <v>54</v>
      </c>
      <c r="L21" s="65" t="s">
        <v>86</v>
      </c>
    </row>
    <row r="22" spans="1:17" ht="13.5" thickBot="1">
      <c r="A22">
        <f>A19/1.21</f>
        <v>23.140495867768596</v>
      </c>
      <c r="C22" s="79"/>
      <c r="D22" s="79"/>
      <c r="E22" s="46">
        <v>4215</v>
      </c>
      <c r="G22" s="48">
        <v>0</v>
      </c>
      <c r="K22" s="139">
        <f>350284</f>
        <v>350284</v>
      </c>
      <c r="M22">
        <v>363665</v>
      </c>
    </row>
    <row r="23" spans="1:17" ht="13.5" thickBot="1">
      <c r="A23">
        <f>A20/1.21</f>
        <v>19.008264462809919</v>
      </c>
      <c r="C23" s="79">
        <v>47</v>
      </c>
      <c r="D23" s="79">
        <v>60</v>
      </c>
      <c r="E23" s="46">
        <v>4836.92</v>
      </c>
      <c r="G23" s="48">
        <v>2183.1799999999998</v>
      </c>
      <c r="J23" s="65" t="s">
        <v>200</v>
      </c>
      <c r="K23" s="92">
        <f>'bud uż publ'!L55</f>
        <v>26461.08</v>
      </c>
      <c r="L23" s="65" t="s">
        <v>201</v>
      </c>
    </row>
    <row r="24" spans="1:17" ht="13.5" thickBot="1">
      <c r="A24">
        <f>A21/1.21</f>
        <v>7.4380165289256199</v>
      </c>
      <c r="C24">
        <f>13/60</f>
        <v>0.21666666666666667</v>
      </c>
      <c r="D24">
        <f>D23/1.2667</f>
        <v>47.367174548038214</v>
      </c>
      <c r="E24" s="46">
        <v>7877.37</v>
      </c>
      <c r="G24" s="48">
        <v>0</v>
      </c>
      <c r="K24" s="140">
        <f>21371+20000</f>
        <v>41371</v>
      </c>
    </row>
    <row r="25" spans="1:17" ht="13.5" thickBot="1">
      <c r="B25" s="65" t="s">
        <v>202</v>
      </c>
      <c r="C25">
        <v>0.83</v>
      </c>
      <c r="D25">
        <f>C25/3.6*1000</f>
        <v>230.55555555555554</v>
      </c>
      <c r="E25" s="46">
        <v>2130.46</v>
      </c>
      <c r="G25" s="48">
        <v>0</v>
      </c>
      <c r="K25" s="141">
        <f>SUM(K22:K24)</f>
        <v>418116.08</v>
      </c>
      <c r="M25" s="63" t="s">
        <v>55</v>
      </c>
      <c r="N25" s="53"/>
    </row>
    <row r="26" spans="1:17" ht="13.5" thickBot="1">
      <c r="B26" s="65" t="s">
        <v>203</v>
      </c>
      <c r="C26">
        <v>0.4</v>
      </c>
      <c r="D26">
        <f>C26/3.6*1000</f>
        <v>111.11111111111111</v>
      </c>
      <c r="E26" s="46">
        <v>215</v>
      </c>
      <c r="G26" s="48">
        <v>1680.5</v>
      </c>
      <c r="M26" s="53" t="s">
        <v>56</v>
      </c>
      <c r="N26" s="53"/>
    </row>
    <row r="27" spans="1:17" ht="13.5" thickBot="1">
      <c r="B27" s="65" t="s">
        <v>204</v>
      </c>
      <c r="C27">
        <v>0.45</v>
      </c>
      <c r="D27">
        <f>C27/3.6*1000</f>
        <v>125</v>
      </c>
      <c r="E27" s="78">
        <v>633.19000000000005</v>
      </c>
      <c r="F27" s="79"/>
      <c r="G27" s="79">
        <f>SUM(G20:G26)</f>
        <v>168488.25</v>
      </c>
      <c r="K27" s="91">
        <f>P7/3.6</f>
        <v>16994.744036607146</v>
      </c>
      <c r="L27" s="65" t="s">
        <v>49</v>
      </c>
    </row>
    <row r="28" spans="1:17" ht="13.5" thickBot="1">
      <c r="E28" s="78">
        <v>793.7</v>
      </c>
      <c r="F28" s="79"/>
      <c r="G28" s="1191" t="s">
        <v>86</v>
      </c>
      <c r="H28" s="1191"/>
    </row>
    <row r="29" spans="1:17" ht="13.5" thickBot="1">
      <c r="B29" s="113" t="s">
        <v>88</v>
      </c>
      <c r="C29" s="114"/>
      <c r="D29" s="113" t="s">
        <v>89</v>
      </c>
      <c r="E29" s="78">
        <v>787</v>
      </c>
      <c r="F29" s="79"/>
      <c r="G29" s="109">
        <v>2010</v>
      </c>
      <c r="H29">
        <v>363665</v>
      </c>
      <c r="J29">
        <f>H29-H32</f>
        <v>120018</v>
      </c>
    </row>
    <row r="30" spans="1:17" ht="16.5" thickBot="1">
      <c r="B30" s="110" t="s">
        <v>65</v>
      </c>
      <c r="C30" s="111">
        <v>21</v>
      </c>
      <c r="D30" s="114">
        <v>0.19</v>
      </c>
      <c r="E30" s="78">
        <v>838</v>
      </c>
      <c r="F30" s="79"/>
      <c r="G30" s="109">
        <v>2000</v>
      </c>
      <c r="H30">
        <v>255364</v>
      </c>
      <c r="J30">
        <f>J29/H29</f>
        <v>0.33002351064853641</v>
      </c>
      <c r="L30" s="30">
        <v>33000</v>
      </c>
      <c r="O30">
        <f>286600/2.5</f>
        <v>114640</v>
      </c>
    </row>
    <row r="31" spans="1:17" ht="16.5" thickBot="1">
      <c r="B31" s="112" t="s">
        <v>12</v>
      </c>
      <c r="C31" s="111">
        <v>31</v>
      </c>
      <c r="D31" s="114">
        <v>0.28000000000000003</v>
      </c>
      <c r="E31" s="78">
        <v>834</v>
      </c>
      <c r="F31" s="79"/>
      <c r="G31" s="109">
        <v>1997</v>
      </c>
      <c r="H31">
        <v>246749</v>
      </c>
    </row>
    <row r="32" spans="1:17" ht="16.5" thickBot="1">
      <c r="B32" s="112" t="s">
        <v>13</v>
      </c>
      <c r="C32" s="111">
        <v>12</v>
      </c>
      <c r="D32" s="114">
        <v>0.11</v>
      </c>
      <c r="E32" s="79">
        <f>SUM(E20:E31)</f>
        <v>23160.963</v>
      </c>
      <c r="F32" s="79"/>
      <c r="G32" s="109">
        <v>1996</v>
      </c>
      <c r="H32">
        <v>243647</v>
      </c>
    </row>
    <row r="33" spans="2:16" ht="16.5" thickBot="1">
      <c r="B33" s="112" t="s">
        <v>87</v>
      </c>
      <c r="C33" s="111">
        <v>9</v>
      </c>
      <c r="D33" s="114">
        <v>0.08</v>
      </c>
      <c r="G33" s="109">
        <v>1995</v>
      </c>
      <c r="H33">
        <v>241934</v>
      </c>
      <c r="I33">
        <f>H30-H33</f>
        <v>13430</v>
      </c>
      <c r="J33">
        <f>I33/H29</f>
        <v>3.6929591794646173E-2</v>
      </c>
      <c r="P33">
        <f>340500+35000+102000</f>
        <v>477500</v>
      </c>
    </row>
    <row r="34" spans="2:16" ht="16.5" thickBot="1">
      <c r="B34" s="112" t="s">
        <v>15</v>
      </c>
      <c r="C34" s="111">
        <v>27</v>
      </c>
      <c r="D34" s="114">
        <v>0.34</v>
      </c>
      <c r="K34" s="60">
        <v>2671</v>
      </c>
      <c r="L34" s="60">
        <v>2671</v>
      </c>
      <c r="N34" s="60">
        <v>273.10000000000002</v>
      </c>
    </row>
    <row r="35" spans="2:16" ht="15.75" thickBot="1">
      <c r="C35">
        <f>SUM(C30:C34)</f>
        <v>100</v>
      </c>
      <c r="D35" s="114">
        <f>SUM(D30:D34)</f>
        <v>1</v>
      </c>
      <c r="I35" s="60">
        <v>273.10000000000002</v>
      </c>
      <c r="K35" s="61">
        <v>208</v>
      </c>
      <c r="L35" s="61">
        <v>208</v>
      </c>
      <c r="N35" s="61">
        <v>117.4</v>
      </c>
    </row>
    <row r="36" spans="2:16" ht="15.75" thickBot="1">
      <c r="I36" s="61">
        <v>117.4</v>
      </c>
      <c r="K36" s="62">
        <v>157</v>
      </c>
      <c r="L36" s="61">
        <v>157</v>
      </c>
      <c r="N36" s="61">
        <v>405.7</v>
      </c>
    </row>
    <row r="37" spans="2:16" ht="15.75" thickBot="1">
      <c r="I37" s="61">
        <v>405.7</v>
      </c>
      <c r="L37" s="61">
        <v>8</v>
      </c>
      <c r="N37" s="61">
        <v>75.7</v>
      </c>
    </row>
    <row r="38" spans="2:16" ht="15.75" thickBot="1">
      <c r="I38" s="61">
        <v>75.7</v>
      </c>
      <c r="L38" s="62">
        <v>3</v>
      </c>
      <c r="N38" s="62">
        <v>149.6</v>
      </c>
    </row>
    <row r="39" spans="2:16" ht="15.75" thickBot="1">
      <c r="I39" s="61">
        <v>149.6</v>
      </c>
    </row>
    <row r="40" spans="2:16" ht="15.75" thickBot="1">
      <c r="I40" s="61" t="s">
        <v>58</v>
      </c>
    </row>
    <row r="41" spans="2:16" ht="15.75" thickBot="1">
      <c r="I41" s="61" t="s">
        <v>58</v>
      </c>
    </row>
    <row r="42" spans="2:16" ht="15.75" thickBot="1">
      <c r="E42" s="65" t="s">
        <v>62</v>
      </c>
      <c r="F42">
        <f>285600/2.6</f>
        <v>109846.15384615384</v>
      </c>
      <c r="I42" s="61">
        <v>650</v>
      </c>
    </row>
    <row r="43" spans="2:16" ht="16.5" thickBot="1">
      <c r="E43" s="65" t="s">
        <v>63</v>
      </c>
      <c r="F43" s="66">
        <f>130170/3</f>
        <v>43390</v>
      </c>
      <c r="I43" s="61" t="s">
        <v>58</v>
      </c>
    </row>
    <row r="44" spans="2:16" ht="15.75" thickBot="1">
      <c r="I44" s="64">
        <v>19339</v>
      </c>
    </row>
    <row r="53" spans="2:10" ht="13.5" thickBot="1"/>
    <row r="54" spans="2:10" ht="16.5" thickBot="1">
      <c r="D54" s="50">
        <v>273.10000000000002</v>
      </c>
      <c r="F54" s="50">
        <v>2671</v>
      </c>
    </row>
    <row r="55" spans="2:10" ht="16.5" thickBot="1">
      <c r="D55" s="51">
        <v>117.4</v>
      </c>
      <c r="F55" s="51">
        <v>208</v>
      </c>
    </row>
    <row r="56" spans="2:10" ht="16.5" thickBot="1">
      <c r="D56" s="51">
        <v>405.7</v>
      </c>
      <c r="F56" s="51">
        <v>157</v>
      </c>
      <c r="I56" s="54">
        <v>64.8</v>
      </c>
      <c r="J56" s="55">
        <v>15151.4</v>
      </c>
    </row>
    <row r="57" spans="2:10" ht="16.5" thickBot="1">
      <c r="D57" s="51">
        <v>75.7</v>
      </c>
      <c r="F57" s="51">
        <v>8</v>
      </c>
      <c r="I57" s="56">
        <v>8.57</v>
      </c>
      <c r="J57" s="57">
        <v>775.3</v>
      </c>
    </row>
    <row r="58" spans="2:10" ht="16.5" thickBot="1">
      <c r="D58" s="51">
        <v>149.6</v>
      </c>
      <c r="F58" s="51">
        <v>3</v>
      </c>
      <c r="I58" s="56">
        <v>19.97</v>
      </c>
      <c r="J58" s="57">
        <v>4631.7</v>
      </c>
    </row>
    <row r="59" spans="2:10" ht="16.5" thickBot="1">
      <c r="D59" s="51" t="s">
        <v>58</v>
      </c>
      <c r="F59" s="51">
        <v>0</v>
      </c>
      <c r="I59" s="58">
        <v>42.16</v>
      </c>
      <c r="J59" s="59">
        <v>14655</v>
      </c>
    </row>
    <row r="60" spans="2:10" ht="16.5" thickBot="1">
      <c r="D60" s="51" t="s">
        <v>58</v>
      </c>
      <c r="F60" s="51">
        <v>0</v>
      </c>
      <c r="I60">
        <f>SUM(I56:I59)</f>
        <v>135.5</v>
      </c>
      <c r="J60">
        <f>SUM(J56:J59)</f>
        <v>35213.399999999994</v>
      </c>
    </row>
    <row r="61" spans="2:10" ht="16.5" thickBot="1">
      <c r="D61" s="51">
        <v>650</v>
      </c>
      <c r="F61" s="51">
        <v>1</v>
      </c>
    </row>
    <row r="62" spans="2:10" ht="16.5" thickBot="1">
      <c r="B62">
        <f>D62/C62</f>
        <v>11.569847442416991</v>
      </c>
      <c r="C62">
        <f>SUM(D54:D61)</f>
        <v>1671.5</v>
      </c>
      <c r="D62" s="52">
        <v>19339</v>
      </c>
      <c r="F62" s="51">
        <v>0</v>
      </c>
    </row>
    <row r="63" spans="2:10" ht="16.5" thickBot="1">
      <c r="F63" s="51">
        <v>1</v>
      </c>
    </row>
    <row r="64" spans="2:10">
      <c r="D64">
        <f>SUM(D54:D62)</f>
        <v>21010.5</v>
      </c>
      <c r="F64">
        <f>SUM(F54:F63)</f>
        <v>3049</v>
      </c>
    </row>
  </sheetData>
  <mergeCells count="19">
    <mergeCell ref="G28:H28"/>
    <mergeCell ref="E19:F19"/>
    <mergeCell ref="E20:F20"/>
    <mergeCell ref="E21:F21"/>
    <mergeCell ref="C19:D19"/>
    <mergeCell ref="C20:D20"/>
    <mergeCell ref="C21:D21"/>
    <mergeCell ref="F8:F9"/>
    <mergeCell ref="D10:E10"/>
    <mergeCell ref="F10:F14"/>
    <mergeCell ref="D11:E11"/>
    <mergeCell ref="D12:E12"/>
    <mergeCell ref="D13:E13"/>
    <mergeCell ref="D14:E14"/>
    <mergeCell ref="C8:C9"/>
    <mergeCell ref="D7:E7"/>
    <mergeCell ref="A8:A9"/>
    <mergeCell ref="B8:B9"/>
    <mergeCell ref="D8:E9"/>
  </mergeCells>
  <phoneticPr fontId="8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95"/>
  <sheetViews>
    <sheetView topLeftCell="C46" workbookViewId="0">
      <selection activeCell="M58" sqref="M58"/>
    </sheetView>
  </sheetViews>
  <sheetFormatPr defaultRowHeight="12.75"/>
  <cols>
    <col min="5" max="5" width="11.28515625" bestFit="1" customWidth="1"/>
    <col min="9" max="9" width="16.42578125" customWidth="1"/>
    <col min="12" max="12" width="12.28515625" bestFit="1" customWidth="1"/>
    <col min="13" max="13" width="29.7109375" customWidth="1"/>
  </cols>
  <sheetData>
    <row r="1" spans="1:13" ht="13.5" thickBot="1">
      <c r="A1" s="65" t="s">
        <v>112</v>
      </c>
      <c r="H1" s="65" t="s">
        <v>152</v>
      </c>
    </row>
    <row r="2" spans="1:13" ht="31.5">
      <c r="A2" s="1199" t="s">
        <v>91</v>
      </c>
      <c r="B2" s="1199" t="s">
        <v>92</v>
      </c>
      <c r="C2" s="1199" t="s">
        <v>93</v>
      </c>
      <c r="D2" s="1199" t="s">
        <v>94</v>
      </c>
      <c r="E2" s="115" t="s">
        <v>95</v>
      </c>
      <c r="F2" s="117" t="s">
        <v>95</v>
      </c>
      <c r="H2" s="1199" t="s">
        <v>91</v>
      </c>
      <c r="I2" s="1199" t="s">
        <v>92</v>
      </c>
      <c r="J2" s="1199" t="s">
        <v>93</v>
      </c>
      <c r="K2" s="1199" t="s">
        <v>94</v>
      </c>
      <c r="L2" s="115" t="s">
        <v>95</v>
      </c>
      <c r="M2" s="117" t="s">
        <v>95</v>
      </c>
    </row>
    <row r="3" spans="1:13" ht="32.25" thickBot="1">
      <c r="A3" s="1200"/>
      <c r="B3" s="1200"/>
      <c r="C3" s="1200"/>
      <c r="D3" s="1200"/>
      <c r="E3" s="116" t="s">
        <v>96</v>
      </c>
      <c r="F3" s="118" t="s">
        <v>97</v>
      </c>
      <c r="H3" s="1200"/>
      <c r="I3" s="1200"/>
      <c r="J3" s="1200"/>
      <c r="K3" s="1200"/>
      <c r="L3" s="116" t="s">
        <v>96</v>
      </c>
      <c r="M3" s="118" t="s">
        <v>97</v>
      </c>
    </row>
    <row r="4" spans="1:13" ht="62.25" customHeight="1" thickBot="1">
      <c r="A4" s="119">
        <v>1</v>
      </c>
      <c r="B4" s="119" t="s">
        <v>98</v>
      </c>
      <c r="C4" s="119" t="s">
        <v>99</v>
      </c>
      <c r="D4" s="119">
        <v>9</v>
      </c>
      <c r="E4" s="119">
        <v>371.53</v>
      </c>
      <c r="F4" s="120">
        <v>479</v>
      </c>
      <c r="H4" s="1201">
        <v>1</v>
      </c>
      <c r="I4" s="1201" t="s">
        <v>142</v>
      </c>
      <c r="J4" s="122" t="s">
        <v>143</v>
      </c>
      <c r="K4" s="1201">
        <v>5</v>
      </c>
      <c r="L4" s="1201">
        <v>98.82</v>
      </c>
      <c r="M4" s="1201"/>
    </row>
    <row r="5" spans="1:13" ht="16.5" thickBot="1">
      <c r="A5" s="116"/>
      <c r="B5" s="121">
        <v>14977</v>
      </c>
      <c r="C5" s="116"/>
      <c r="D5" s="116"/>
      <c r="E5" s="116">
        <v>42</v>
      </c>
      <c r="F5" s="118"/>
      <c r="H5" s="1202"/>
      <c r="I5" s="1202"/>
      <c r="J5" s="119" t="s">
        <v>144</v>
      </c>
      <c r="K5" s="1202"/>
      <c r="L5" s="1202"/>
      <c r="M5" s="1202"/>
    </row>
    <row r="6" spans="1:13" ht="16.5" thickBot="1">
      <c r="A6" s="116"/>
      <c r="B6" s="121">
        <v>15008</v>
      </c>
      <c r="C6" s="116"/>
      <c r="D6" s="116"/>
      <c r="E6" s="116">
        <v>41</v>
      </c>
      <c r="F6" s="118"/>
      <c r="H6" s="116"/>
      <c r="I6" s="124" t="s">
        <v>145</v>
      </c>
      <c r="J6" s="116"/>
      <c r="K6" s="116"/>
      <c r="L6" s="116">
        <v>5.74</v>
      </c>
      <c r="M6" s="118"/>
    </row>
    <row r="7" spans="1:13" ht="16.5" thickBot="1">
      <c r="A7" s="116"/>
      <c r="B7" s="121">
        <v>15036</v>
      </c>
      <c r="C7" s="116"/>
      <c r="D7" s="116"/>
      <c r="E7" s="116">
        <v>42</v>
      </c>
      <c r="F7" s="118"/>
      <c r="H7" s="116"/>
      <c r="I7" s="124" t="s">
        <v>146</v>
      </c>
      <c r="J7" s="116"/>
      <c r="K7" s="116"/>
      <c r="L7" s="116">
        <v>10.01</v>
      </c>
      <c r="M7" s="118"/>
    </row>
    <row r="8" spans="1:13" ht="16.5" thickBot="1">
      <c r="A8" s="116"/>
      <c r="B8" s="121">
        <v>15067</v>
      </c>
      <c r="C8" s="116"/>
      <c r="D8" s="116"/>
      <c r="E8" s="116">
        <v>11</v>
      </c>
      <c r="F8" s="118"/>
      <c r="H8" s="116"/>
      <c r="I8" s="124" t="s">
        <v>147</v>
      </c>
      <c r="J8" s="116"/>
      <c r="K8" s="116"/>
      <c r="L8" s="116">
        <v>26.12</v>
      </c>
      <c r="M8" s="118"/>
    </row>
    <row r="9" spans="1:13" ht="16.5" thickBot="1">
      <c r="A9" s="116"/>
      <c r="B9" s="121">
        <v>15097</v>
      </c>
      <c r="C9" s="116"/>
      <c r="D9" s="116"/>
      <c r="E9" s="116">
        <v>42.44</v>
      </c>
      <c r="F9" s="118"/>
      <c r="H9" s="116"/>
      <c r="I9" s="124" t="s">
        <v>148</v>
      </c>
      <c r="J9" s="116"/>
      <c r="K9" s="116"/>
      <c r="L9" s="116">
        <v>39.200000000000003</v>
      </c>
      <c r="M9" s="118"/>
    </row>
    <row r="10" spans="1:13" ht="16.5" thickBot="1">
      <c r="A10" s="116"/>
      <c r="B10" s="121">
        <v>15128</v>
      </c>
      <c r="C10" s="116"/>
      <c r="D10" s="116"/>
      <c r="E10" s="116">
        <v>44</v>
      </c>
      <c r="F10" s="118"/>
      <c r="H10" s="116"/>
      <c r="I10" s="124" t="s">
        <v>149</v>
      </c>
      <c r="J10" s="116"/>
      <c r="K10" s="116"/>
      <c r="L10" s="116">
        <v>17.75</v>
      </c>
      <c r="M10" s="118"/>
    </row>
    <row r="11" spans="1:13" ht="32.25" thickBot="1">
      <c r="A11" s="116"/>
      <c r="B11" s="121">
        <v>15158</v>
      </c>
      <c r="C11" s="116"/>
      <c r="D11" s="116"/>
      <c r="E11" s="116">
        <v>69</v>
      </c>
      <c r="F11" s="118"/>
      <c r="H11" s="119">
        <v>2</v>
      </c>
      <c r="I11" s="119" t="s">
        <v>150</v>
      </c>
      <c r="J11" s="119" t="s">
        <v>114</v>
      </c>
      <c r="K11" s="119">
        <v>3</v>
      </c>
      <c r="L11" s="119">
        <v>97</v>
      </c>
      <c r="M11" s="120"/>
    </row>
    <row r="12" spans="1:13" ht="16.5" thickBot="1">
      <c r="A12" s="116"/>
      <c r="B12" s="121">
        <v>15189</v>
      </c>
      <c r="C12" s="116"/>
      <c r="D12" s="116"/>
      <c r="E12" s="116">
        <v>26.72</v>
      </c>
      <c r="F12" s="118"/>
      <c r="H12" s="116"/>
      <c r="I12" s="124" t="s">
        <v>145</v>
      </c>
      <c r="J12" s="116"/>
      <c r="K12" s="116"/>
      <c r="L12" s="116">
        <v>37</v>
      </c>
      <c r="M12" s="118"/>
    </row>
    <row r="13" spans="1:13" ht="16.5" thickBot="1">
      <c r="A13" s="116"/>
      <c r="B13" s="121">
        <v>15220</v>
      </c>
      <c r="C13" s="116"/>
      <c r="D13" s="116"/>
      <c r="E13" s="116">
        <v>53.37</v>
      </c>
      <c r="F13" s="118"/>
      <c r="H13" s="116"/>
      <c r="I13" s="124" t="s">
        <v>146</v>
      </c>
      <c r="J13" s="116"/>
      <c r="K13" s="116"/>
      <c r="L13" s="116">
        <v>51</v>
      </c>
      <c r="M13" s="118"/>
    </row>
    <row r="14" spans="1:13" ht="16.5" thickBot="1">
      <c r="A14" s="1201">
        <v>2</v>
      </c>
      <c r="B14" s="1201" t="s">
        <v>100</v>
      </c>
      <c r="C14" s="122" t="s">
        <v>101</v>
      </c>
      <c r="D14" s="1201">
        <v>7</v>
      </c>
      <c r="E14" s="1201">
        <v>375.69</v>
      </c>
      <c r="F14" s="1201">
        <v>281</v>
      </c>
      <c r="H14" s="116"/>
      <c r="I14" s="124" t="s">
        <v>147</v>
      </c>
      <c r="J14" s="116"/>
      <c r="K14" s="116"/>
      <c r="L14" s="116">
        <v>9</v>
      </c>
      <c r="M14" s="118"/>
    </row>
    <row r="15" spans="1:13" ht="48" thickBot="1">
      <c r="A15" s="1202"/>
      <c r="B15" s="1202"/>
      <c r="C15" s="119" t="s">
        <v>102</v>
      </c>
      <c r="D15" s="1202"/>
      <c r="E15" s="1202"/>
      <c r="F15" s="1202"/>
      <c r="H15" s="119">
        <v>3</v>
      </c>
      <c r="I15" s="119" t="s">
        <v>151</v>
      </c>
      <c r="J15" s="119"/>
      <c r="K15" s="119">
        <v>1</v>
      </c>
      <c r="L15" s="119">
        <v>18</v>
      </c>
      <c r="M15" s="118"/>
    </row>
    <row r="16" spans="1:13" ht="16.5" thickBot="1">
      <c r="A16" s="119"/>
      <c r="B16" s="124" t="s">
        <v>103</v>
      </c>
      <c r="C16" s="116"/>
      <c r="D16" s="116"/>
      <c r="E16" s="116">
        <v>45</v>
      </c>
      <c r="F16" s="118"/>
      <c r="H16" s="65" t="s">
        <v>196</v>
      </c>
      <c r="L16" s="132">
        <f>SUM(L4:L15)</f>
        <v>409.64</v>
      </c>
    </row>
    <row r="17" spans="1:14" ht="32.25" thickBot="1">
      <c r="A17" s="119"/>
      <c r="B17" s="124" t="s">
        <v>104</v>
      </c>
      <c r="C17" s="116"/>
      <c r="D17" s="116"/>
      <c r="E17" s="116">
        <v>35</v>
      </c>
      <c r="F17" s="118"/>
      <c r="H17" s="1199" t="s">
        <v>91</v>
      </c>
      <c r="I17" s="1199" t="s">
        <v>92</v>
      </c>
      <c r="J17" s="1199" t="s">
        <v>93</v>
      </c>
      <c r="K17" s="1199" t="s">
        <v>94</v>
      </c>
      <c r="L17" s="115" t="s">
        <v>95</v>
      </c>
      <c r="M17" s="117" t="s">
        <v>95</v>
      </c>
    </row>
    <row r="18" spans="1:14" ht="32.25" thickBot="1">
      <c r="A18" s="119"/>
      <c r="B18" s="124" t="s">
        <v>105</v>
      </c>
      <c r="C18" s="116"/>
      <c r="D18" s="116"/>
      <c r="E18" s="116">
        <v>64.790000000000006</v>
      </c>
      <c r="F18" s="118"/>
      <c r="H18" s="1200"/>
      <c r="I18" s="1200"/>
      <c r="J18" s="1200"/>
      <c r="K18" s="1200"/>
      <c r="L18" s="116" t="s">
        <v>96</v>
      </c>
      <c r="M18" s="118" t="s">
        <v>97</v>
      </c>
    </row>
    <row r="19" spans="1:14" ht="32.25" thickBot="1">
      <c r="A19" s="119"/>
      <c r="B19" s="124" t="s">
        <v>106</v>
      </c>
      <c r="C19" s="116"/>
      <c r="D19" s="116"/>
      <c r="E19" s="116">
        <v>38.5</v>
      </c>
      <c r="F19" s="118"/>
      <c r="H19" s="116">
        <v>1</v>
      </c>
      <c r="I19" s="116" t="s">
        <v>153</v>
      </c>
      <c r="J19" s="116" t="s">
        <v>154</v>
      </c>
      <c r="K19" s="124" t="s">
        <v>58</v>
      </c>
      <c r="L19" s="133">
        <v>583</v>
      </c>
      <c r="M19" s="118">
        <v>1187</v>
      </c>
      <c r="N19" s="134" t="s">
        <v>197</v>
      </c>
    </row>
    <row r="20" spans="1:14" ht="32.25" thickBot="1">
      <c r="A20" s="119"/>
      <c r="B20" s="124" t="s">
        <v>107</v>
      </c>
      <c r="C20" s="116"/>
      <c r="D20" s="116"/>
      <c r="E20" s="116">
        <v>63.4</v>
      </c>
      <c r="F20" s="118"/>
      <c r="H20" s="116">
        <v>2</v>
      </c>
      <c r="I20" s="116" t="s">
        <v>155</v>
      </c>
      <c r="J20" s="116" t="s">
        <v>156</v>
      </c>
      <c r="K20" s="124" t="s">
        <v>58</v>
      </c>
      <c r="L20" s="133">
        <v>706.5</v>
      </c>
      <c r="M20" s="118">
        <v>256</v>
      </c>
    </row>
    <row r="21" spans="1:14" ht="32.25" thickBot="1">
      <c r="A21" s="119"/>
      <c r="B21" s="124" t="s">
        <v>108</v>
      </c>
      <c r="C21" s="116"/>
      <c r="D21" s="116"/>
      <c r="E21" s="116">
        <v>65</v>
      </c>
      <c r="F21" s="118"/>
      <c r="H21" s="116">
        <v>3</v>
      </c>
      <c r="I21" s="116" t="s">
        <v>198</v>
      </c>
      <c r="J21" s="116" t="s">
        <v>157</v>
      </c>
      <c r="K21" s="124" t="s">
        <v>58</v>
      </c>
      <c r="L21" s="133">
        <v>602</v>
      </c>
      <c r="M21" s="118">
        <v>612</v>
      </c>
    </row>
    <row r="22" spans="1:14" ht="78" customHeight="1" thickBot="1">
      <c r="A22" s="119"/>
      <c r="B22" s="124" t="s">
        <v>109</v>
      </c>
      <c r="C22" s="116"/>
      <c r="D22" s="116"/>
      <c r="E22" s="116">
        <v>64</v>
      </c>
      <c r="F22" s="118"/>
      <c r="H22" s="1199">
        <v>4</v>
      </c>
      <c r="I22" s="1199" t="s">
        <v>158</v>
      </c>
      <c r="J22" s="128" t="s">
        <v>159</v>
      </c>
      <c r="K22" s="1203" t="s">
        <v>58</v>
      </c>
      <c r="L22" s="1199"/>
      <c r="M22" s="1199">
        <v>101</v>
      </c>
    </row>
    <row r="23" spans="1:14" ht="32.25" thickBot="1">
      <c r="A23" s="119">
        <v>3</v>
      </c>
      <c r="B23" s="119" t="s">
        <v>110</v>
      </c>
      <c r="C23" s="119">
        <v>160</v>
      </c>
      <c r="D23" s="119">
        <v>2</v>
      </c>
      <c r="E23" s="119">
        <v>105.5</v>
      </c>
      <c r="F23" s="120">
        <v>187</v>
      </c>
      <c r="H23" s="1200"/>
      <c r="I23" s="1200"/>
      <c r="J23" s="129">
        <v>41076</v>
      </c>
      <c r="K23" s="1204"/>
      <c r="L23" s="1200"/>
      <c r="M23" s="1200"/>
    </row>
    <row r="24" spans="1:14" ht="16.5" thickBot="1">
      <c r="A24" s="116"/>
      <c r="B24" s="124" t="s">
        <v>103</v>
      </c>
      <c r="C24" s="116"/>
      <c r="D24" s="116"/>
      <c r="E24" s="116">
        <v>62.5</v>
      </c>
      <c r="F24" s="118"/>
      <c r="H24" s="116">
        <v>5</v>
      </c>
      <c r="I24" s="116" t="s">
        <v>160</v>
      </c>
      <c r="J24" s="116" t="s">
        <v>161</v>
      </c>
      <c r="K24" s="124" t="s">
        <v>58</v>
      </c>
      <c r="L24" s="136">
        <v>573</v>
      </c>
      <c r="M24" s="118">
        <v>573</v>
      </c>
    </row>
    <row r="25" spans="1:14" ht="16.5" thickBot="1">
      <c r="A25" s="116"/>
      <c r="B25" s="124" t="s">
        <v>104</v>
      </c>
      <c r="C25" s="116"/>
      <c r="D25" s="116"/>
      <c r="E25" s="116">
        <v>43</v>
      </c>
      <c r="F25" s="118"/>
      <c r="H25" s="116">
        <v>6</v>
      </c>
      <c r="I25" s="116" t="s">
        <v>162</v>
      </c>
      <c r="J25" s="116">
        <v>228</v>
      </c>
      <c r="K25" s="124" t="s">
        <v>58</v>
      </c>
      <c r="L25" s="116">
        <v>0</v>
      </c>
      <c r="M25" s="118"/>
    </row>
    <row r="26" spans="1:14" ht="48" thickBot="1">
      <c r="A26" s="119">
        <v>4</v>
      </c>
      <c r="B26" s="119" t="s">
        <v>111</v>
      </c>
      <c r="C26" s="119">
        <v>60</v>
      </c>
      <c r="D26" s="119">
        <v>4</v>
      </c>
      <c r="E26" s="119">
        <v>128</v>
      </c>
      <c r="F26" s="120"/>
      <c r="H26" s="65" t="s">
        <v>195</v>
      </c>
      <c r="L26">
        <f>SUM(L19:L25)</f>
        <v>2464.5</v>
      </c>
    </row>
    <row r="27" spans="1:14" ht="32.25" thickBot="1">
      <c r="A27" s="116"/>
      <c r="B27" s="124" t="s">
        <v>103</v>
      </c>
      <c r="C27" s="116"/>
      <c r="D27" s="116"/>
      <c r="E27" s="116">
        <v>35</v>
      </c>
      <c r="F27" s="118"/>
      <c r="H27" s="1199" t="s">
        <v>91</v>
      </c>
      <c r="I27" s="1199" t="s">
        <v>92</v>
      </c>
      <c r="J27" s="1199" t="s">
        <v>93</v>
      </c>
      <c r="K27" s="1199" t="s">
        <v>94</v>
      </c>
      <c r="L27" s="115" t="s">
        <v>95</v>
      </c>
      <c r="M27" s="117" t="s">
        <v>95</v>
      </c>
    </row>
    <row r="28" spans="1:14" ht="32.25" thickBot="1">
      <c r="A28" s="116"/>
      <c r="B28" s="124" t="s">
        <v>104</v>
      </c>
      <c r="C28" s="116"/>
      <c r="D28" s="116"/>
      <c r="E28" s="116">
        <v>41</v>
      </c>
      <c r="F28" s="118"/>
      <c r="H28" s="1200"/>
      <c r="I28" s="1200"/>
      <c r="J28" s="1200"/>
      <c r="K28" s="1200"/>
      <c r="L28" s="116" t="s">
        <v>96</v>
      </c>
      <c r="M28" s="118" t="s">
        <v>97</v>
      </c>
    </row>
    <row r="29" spans="1:14" ht="16.5" thickBot="1">
      <c r="A29" s="116"/>
      <c r="B29" s="124" t="s">
        <v>105</v>
      </c>
      <c r="C29" s="116"/>
      <c r="D29" s="116"/>
      <c r="E29" s="116">
        <v>27</v>
      </c>
      <c r="F29" s="118"/>
      <c r="H29" s="116">
        <v>1</v>
      </c>
      <c r="I29" s="116" t="s">
        <v>163</v>
      </c>
      <c r="J29" s="116" t="s">
        <v>164</v>
      </c>
      <c r="K29" s="124" t="s">
        <v>58</v>
      </c>
      <c r="L29" s="116">
        <v>2300</v>
      </c>
      <c r="M29" s="118">
        <v>1304</v>
      </c>
    </row>
    <row r="30" spans="1:14" ht="16.5" thickBot="1">
      <c r="A30" s="116"/>
      <c r="B30" s="124" t="s">
        <v>106</v>
      </c>
      <c r="C30" s="116"/>
      <c r="D30" s="116"/>
      <c r="E30" s="116">
        <v>25</v>
      </c>
      <c r="F30" s="118"/>
      <c r="H30" s="116">
        <v>2</v>
      </c>
      <c r="I30" s="116" t="s">
        <v>165</v>
      </c>
      <c r="J30" s="116" t="s">
        <v>166</v>
      </c>
      <c r="K30" s="124"/>
      <c r="L30" s="116">
        <v>700</v>
      </c>
      <c r="M30" s="118">
        <v>416</v>
      </c>
    </row>
    <row r="31" spans="1:14" ht="16.5" thickBot="1">
      <c r="E31" s="132">
        <f>SUM(E4:E30)</f>
        <v>1961.44</v>
      </c>
      <c r="H31" s="1199">
        <v>3</v>
      </c>
      <c r="I31" s="1199" t="s">
        <v>167</v>
      </c>
      <c r="J31" s="128" t="s">
        <v>168</v>
      </c>
      <c r="K31" s="1203" t="s">
        <v>58</v>
      </c>
      <c r="L31" s="1205">
        <v>7100</v>
      </c>
      <c r="M31" s="1203" t="s">
        <v>58</v>
      </c>
    </row>
    <row r="32" spans="1:14" ht="32.25" thickBot="1">
      <c r="A32" s="1199" t="s">
        <v>91</v>
      </c>
      <c r="B32" s="1199" t="s">
        <v>92</v>
      </c>
      <c r="C32" s="1199" t="s">
        <v>93</v>
      </c>
      <c r="D32" s="1199" t="s">
        <v>94</v>
      </c>
      <c r="E32" s="115" t="s">
        <v>95</v>
      </c>
      <c r="F32" s="117" t="s">
        <v>95</v>
      </c>
      <c r="H32" s="1200"/>
      <c r="I32" s="1200"/>
      <c r="J32" s="116">
        <v>226</v>
      </c>
      <c r="K32" s="1204"/>
      <c r="L32" s="1206"/>
      <c r="M32" s="1204"/>
    </row>
    <row r="33" spans="1:13" ht="32.25" thickBot="1">
      <c r="A33" s="1200"/>
      <c r="B33" s="1200"/>
      <c r="C33" s="1200"/>
      <c r="D33" s="1200"/>
      <c r="E33" s="116" t="s">
        <v>96</v>
      </c>
      <c r="F33" s="118" t="s">
        <v>97</v>
      </c>
      <c r="H33" s="1199">
        <v>4</v>
      </c>
      <c r="I33" s="1199" t="s">
        <v>169</v>
      </c>
      <c r="J33" s="128" t="s">
        <v>170</v>
      </c>
      <c r="K33" s="1203" t="s">
        <v>58</v>
      </c>
      <c r="L33" s="1205">
        <v>1030</v>
      </c>
      <c r="M33" s="1199">
        <v>869</v>
      </c>
    </row>
    <row r="34" spans="1:13" ht="48" thickBot="1">
      <c r="A34" s="119">
        <v>1</v>
      </c>
      <c r="B34" s="119" t="s">
        <v>113</v>
      </c>
      <c r="C34" s="119" t="s">
        <v>114</v>
      </c>
      <c r="D34" s="119">
        <v>5</v>
      </c>
      <c r="E34" s="119">
        <v>214.5</v>
      </c>
      <c r="F34" s="120">
        <v>214</v>
      </c>
      <c r="H34" s="1200"/>
      <c r="I34" s="1200"/>
      <c r="J34" s="116" t="s">
        <v>171</v>
      </c>
      <c r="K34" s="1204"/>
      <c r="L34" s="1206"/>
      <c r="M34" s="1200"/>
    </row>
    <row r="35" spans="1:13" ht="16.5" thickBot="1">
      <c r="A35" s="116"/>
      <c r="B35" s="124" t="s">
        <v>103</v>
      </c>
      <c r="C35" s="116"/>
      <c r="D35" s="116"/>
      <c r="E35" s="116">
        <v>33</v>
      </c>
      <c r="F35" s="118"/>
      <c r="H35" s="116">
        <v>5</v>
      </c>
      <c r="I35" s="116" t="s">
        <v>172</v>
      </c>
      <c r="J35" s="116">
        <v>154</v>
      </c>
      <c r="K35" s="124" t="s">
        <v>58</v>
      </c>
      <c r="L35" s="240">
        <v>1000</v>
      </c>
      <c r="M35" s="118">
        <v>1085</v>
      </c>
    </row>
    <row r="36" spans="1:13" ht="16.5" thickBot="1">
      <c r="A36" s="116"/>
      <c r="B36" s="124" t="s">
        <v>104</v>
      </c>
      <c r="C36" s="116"/>
      <c r="D36" s="116"/>
      <c r="E36" s="116">
        <v>32</v>
      </c>
      <c r="F36" s="118"/>
      <c r="H36" s="116">
        <v>6</v>
      </c>
      <c r="I36" s="116" t="s">
        <v>173</v>
      </c>
      <c r="J36" s="130">
        <v>25204</v>
      </c>
      <c r="K36" s="124" t="s">
        <v>58</v>
      </c>
      <c r="L36" s="240">
        <v>1000</v>
      </c>
      <c r="M36" s="118">
        <v>525</v>
      </c>
    </row>
    <row r="37" spans="1:13" ht="16.5" thickBot="1">
      <c r="A37" s="116"/>
      <c r="B37" s="124" t="s">
        <v>105</v>
      </c>
      <c r="C37" s="116"/>
      <c r="D37" s="116"/>
      <c r="E37" s="116">
        <v>53.5</v>
      </c>
      <c r="F37" s="118"/>
      <c r="H37" s="116">
        <v>7</v>
      </c>
      <c r="I37" s="116" t="s">
        <v>174</v>
      </c>
      <c r="J37" s="116">
        <v>289</v>
      </c>
      <c r="K37" s="124" t="s">
        <v>58</v>
      </c>
      <c r="L37" s="240">
        <v>640</v>
      </c>
      <c r="M37" s="118">
        <v>215</v>
      </c>
    </row>
    <row r="38" spans="1:13" ht="16.5" thickBot="1">
      <c r="A38" s="116"/>
      <c r="B38" s="124" t="s">
        <v>106</v>
      </c>
      <c r="C38" s="116"/>
      <c r="D38" s="116"/>
      <c r="E38" s="116">
        <v>41</v>
      </c>
      <c r="F38" s="118"/>
      <c r="H38" s="116">
        <v>8</v>
      </c>
      <c r="I38" s="116" t="s">
        <v>175</v>
      </c>
      <c r="J38" s="116" t="s">
        <v>176</v>
      </c>
      <c r="K38" s="124" t="s">
        <v>58</v>
      </c>
      <c r="L38" s="240">
        <v>950</v>
      </c>
      <c r="M38" s="118">
        <v>578</v>
      </c>
    </row>
    <row r="39" spans="1:13" ht="32.25" thickBot="1">
      <c r="A39" s="116"/>
      <c r="B39" s="124" t="s">
        <v>107</v>
      </c>
      <c r="C39" s="116"/>
      <c r="D39" s="116"/>
      <c r="E39" s="116">
        <v>55</v>
      </c>
      <c r="F39" s="118"/>
      <c r="H39" s="116">
        <v>9</v>
      </c>
      <c r="I39" s="116" t="s">
        <v>177</v>
      </c>
      <c r="J39" s="116" t="s">
        <v>178</v>
      </c>
      <c r="K39" s="124" t="s">
        <v>58</v>
      </c>
      <c r="L39" s="135">
        <v>950</v>
      </c>
      <c r="M39" s="118">
        <v>1515</v>
      </c>
    </row>
    <row r="40" spans="1:13" ht="48" thickBot="1">
      <c r="A40" s="119">
        <v>2</v>
      </c>
      <c r="B40" s="119" t="s">
        <v>115</v>
      </c>
      <c r="C40" s="119" t="s">
        <v>116</v>
      </c>
      <c r="D40" s="119">
        <v>4</v>
      </c>
      <c r="E40" s="119">
        <v>158.5</v>
      </c>
      <c r="F40" s="120">
        <v>186</v>
      </c>
      <c r="H40" s="116">
        <v>10</v>
      </c>
      <c r="I40" s="116" t="s">
        <v>179</v>
      </c>
      <c r="J40" s="116" t="s">
        <v>136</v>
      </c>
      <c r="K40" s="124" t="s">
        <v>58</v>
      </c>
      <c r="L40" s="240">
        <v>2000</v>
      </c>
      <c r="M40" s="118">
        <v>904</v>
      </c>
    </row>
    <row r="41" spans="1:13" ht="32.25" thickBot="1">
      <c r="A41" s="116"/>
      <c r="B41" s="124" t="s">
        <v>103</v>
      </c>
      <c r="C41" s="116"/>
      <c r="D41" s="116"/>
      <c r="E41" s="116">
        <v>27</v>
      </c>
      <c r="F41" s="118"/>
      <c r="H41" s="116">
        <v>11</v>
      </c>
      <c r="I41" s="116" t="s">
        <v>180</v>
      </c>
      <c r="J41" s="116" t="s">
        <v>181</v>
      </c>
      <c r="K41" s="124" t="s">
        <v>58</v>
      </c>
      <c r="L41" s="135">
        <v>4720</v>
      </c>
      <c r="M41" s="131" t="s">
        <v>58</v>
      </c>
    </row>
    <row r="42" spans="1:13" ht="16.5" thickBot="1">
      <c r="A42" s="116"/>
      <c r="B42" s="124" t="s">
        <v>104</v>
      </c>
      <c r="C42" s="116"/>
      <c r="D42" s="116"/>
      <c r="E42" s="116">
        <v>62</v>
      </c>
      <c r="F42" s="118"/>
      <c r="H42" s="116">
        <v>12</v>
      </c>
      <c r="I42" s="116" t="s">
        <v>182</v>
      </c>
      <c r="J42" s="130">
        <v>15067</v>
      </c>
      <c r="K42" s="124" t="s">
        <v>58</v>
      </c>
      <c r="L42" s="247">
        <v>800</v>
      </c>
      <c r="M42" s="118">
        <v>843</v>
      </c>
    </row>
    <row r="43" spans="1:13" ht="16.5" thickBot="1">
      <c r="A43" s="116"/>
      <c r="B43" s="124" t="s">
        <v>105</v>
      </c>
      <c r="C43" s="116"/>
      <c r="D43" s="116"/>
      <c r="E43" s="116">
        <v>49.5</v>
      </c>
      <c r="F43" s="118"/>
      <c r="L43" s="132">
        <f>SUM(L29:L42)</f>
        <v>23190</v>
      </c>
    </row>
    <row r="44" spans="1:13" ht="16.5" thickBot="1">
      <c r="A44" s="116"/>
      <c r="B44" s="124" t="s">
        <v>106</v>
      </c>
      <c r="C44" s="116"/>
      <c r="D44" s="116"/>
      <c r="E44" s="116">
        <v>20</v>
      </c>
      <c r="F44" s="118"/>
      <c r="H44" s="65" t="s">
        <v>194</v>
      </c>
    </row>
    <row r="45" spans="1:13" ht="48" thickBot="1">
      <c r="A45" s="119">
        <v>3</v>
      </c>
      <c r="B45" s="119" t="s">
        <v>117</v>
      </c>
      <c r="C45" s="119" t="s">
        <v>118</v>
      </c>
      <c r="D45" s="119">
        <v>2</v>
      </c>
      <c r="E45" s="119">
        <v>172</v>
      </c>
      <c r="F45" s="120">
        <v>112</v>
      </c>
      <c r="H45" s="1199" t="s">
        <v>91</v>
      </c>
      <c r="I45" s="1199" t="s">
        <v>92</v>
      </c>
      <c r="J45" s="1199" t="s">
        <v>93</v>
      </c>
      <c r="K45" s="1199" t="s">
        <v>94</v>
      </c>
      <c r="L45" s="115" t="s">
        <v>95</v>
      </c>
      <c r="M45" s="117" t="s">
        <v>95</v>
      </c>
    </row>
    <row r="46" spans="1:13" ht="16.5" thickBot="1">
      <c r="A46" s="116"/>
      <c r="B46" s="124" t="s">
        <v>103</v>
      </c>
      <c r="C46" s="116"/>
      <c r="D46" s="116"/>
      <c r="E46" s="116">
        <v>86</v>
      </c>
      <c r="F46" s="118"/>
      <c r="H46" s="1200"/>
      <c r="I46" s="1200"/>
      <c r="J46" s="1200"/>
      <c r="K46" s="1200"/>
      <c r="L46" s="116" t="s">
        <v>183</v>
      </c>
      <c r="M46" s="118" t="s">
        <v>97</v>
      </c>
    </row>
    <row r="47" spans="1:13" ht="16.5" thickBot="1">
      <c r="A47" s="116"/>
      <c r="B47" s="124" t="s">
        <v>104</v>
      </c>
      <c r="C47" s="116"/>
      <c r="D47" s="116"/>
      <c r="E47" s="116">
        <v>86</v>
      </c>
      <c r="F47" s="118"/>
      <c r="H47" s="116">
        <v>1</v>
      </c>
      <c r="I47" s="116" t="s">
        <v>184</v>
      </c>
      <c r="J47" s="116" t="s">
        <v>185</v>
      </c>
      <c r="K47" s="124" t="s">
        <v>58</v>
      </c>
      <c r="L47" s="116"/>
      <c r="M47" s="118">
        <v>250</v>
      </c>
    </row>
    <row r="48" spans="1:13" ht="48" thickBot="1">
      <c r="A48" s="119">
        <v>4</v>
      </c>
      <c r="B48" s="119" t="s">
        <v>119</v>
      </c>
      <c r="C48" s="119" t="s">
        <v>120</v>
      </c>
      <c r="D48" s="119">
        <v>6</v>
      </c>
      <c r="E48" s="119">
        <v>270</v>
      </c>
      <c r="F48" s="120">
        <v>214</v>
      </c>
      <c r="H48" s="116">
        <v>2</v>
      </c>
      <c r="I48" s="116" t="s">
        <v>186</v>
      </c>
      <c r="J48" s="116" t="s">
        <v>187</v>
      </c>
      <c r="K48" s="124" t="s">
        <v>58</v>
      </c>
      <c r="L48" s="133">
        <v>120</v>
      </c>
      <c r="M48" s="118">
        <v>208</v>
      </c>
    </row>
    <row r="49" spans="1:17" ht="16.5" thickBot="1">
      <c r="A49" s="116"/>
      <c r="B49" s="124" t="s">
        <v>103</v>
      </c>
      <c r="C49" s="116"/>
      <c r="D49" s="116"/>
      <c r="E49" s="116">
        <v>44</v>
      </c>
      <c r="F49" s="118"/>
      <c r="H49" s="116">
        <v>3</v>
      </c>
      <c r="I49" s="116" t="s">
        <v>188</v>
      </c>
      <c r="J49" s="116" t="s">
        <v>189</v>
      </c>
      <c r="K49" s="124" t="s">
        <v>58</v>
      </c>
      <c r="L49" s="116">
        <v>340</v>
      </c>
      <c r="M49" s="118">
        <v>394</v>
      </c>
    </row>
    <row r="50" spans="1:17" ht="16.5" thickBot="1">
      <c r="A50" s="116"/>
      <c r="B50" s="124" t="s">
        <v>104</v>
      </c>
      <c r="C50" s="116"/>
      <c r="D50" s="116"/>
      <c r="E50" s="116">
        <v>46</v>
      </c>
      <c r="F50" s="118"/>
      <c r="H50" s="116">
        <v>4</v>
      </c>
      <c r="I50" s="116" t="s">
        <v>190</v>
      </c>
      <c r="J50" s="116" t="s">
        <v>191</v>
      </c>
      <c r="K50" s="124" t="s">
        <v>58</v>
      </c>
      <c r="L50" s="136">
        <v>300</v>
      </c>
      <c r="M50" s="118">
        <v>330</v>
      </c>
      <c r="N50" s="137" t="s">
        <v>199</v>
      </c>
    </row>
    <row r="51" spans="1:17" ht="16.5" thickBot="1">
      <c r="A51" s="116"/>
      <c r="B51" s="124" t="s">
        <v>105</v>
      </c>
      <c r="C51" s="116"/>
      <c r="D51" s="116"/>
      <c r="E51" s="116">
        <v>44</v>
      </c>
      <c r="F51" s="118"/>
      <c r="H51" s="116">
        <v>5</v>
      </c>
      <c r="I51" s="116" t="s">
        <v>192</v>
      </c>
      <c r="J51" s="116" t="s">
        <v>193</v>
      </c>
      <c r="K51" s="124" t="s">
        <v>58</v>
      </c>
      <c r="L51" s="116">
        <v>140</v>
      </c>
      <c r="M51" s="131" t="s">
        <v>58</v>
      </c>
    </row>
    <row r="52" spans="1:17" ht="16.5" thickBot="1">
      <c r="A52" s="116"/>
      <c r="B52" s="124" t="s">
        <v>106</v>
      </c>
      <c r="C52" s="116"/>
      <c r="D52" s="116"/>
      <c r="E52" s="116">
        <v>46</v>
      </c>
      <c r="F52" s="118"/>
      <c r="L52" s="132">
        <f>SUM(L47:L51)</f>
        <v>900</v>
      </c>
    </row>
    <row r="53" spans="1:17" ht="16.5" thickBot="1">
      <c r="A53" s="116"/>
      <c r="B53" s="124" t="s">
        <v>107</v>
      </c>
      <c r="C53" s="116"/>
      <c r="D53" s="116"/>
      <c r="E53" s="116">
        <v>46</v>
      </c>
      <c r="F53" s="118"/>
    </row>
    <row r="54" spans="1:17" ht="16.5" thickBot="1">
      <c r="A54" s="116"/>
      <c r="B54" s="124" t="s">
        <v>108</v>
      </c>
      <c r="C54" s="116"/>
      <c r="D54" s="116"/>
      <c r="E54" s="116">
        <v>44</v>
      </c>
      <c r="F54" s="118"/>
      <c r="N54">
        <v>7850</v>
      </c>
      <c r="O54">
        <v>5850</v>
      </c>
      <c r="P54">
        <f>O54/N54</f>
        <v>0.74522292993630568</v>
      </c>
      <c r="Q54">
        <f>P54/3.6*1000</f>
        <v>207.00636942675158</v>
      </c>
    </row>
    <row r="55" spans="1:17" ht="63.75" thickBot="1">
      <c r="A55" s="119">
        <v>5</v>
      </c>
      <c r="B55" s="119" t="s">
        <v>121</v>
      </c>
      <c r="C55" s="119" t="s">
        <v>122</v>
      </c>
      <c r="D55" s="119">
        <v>3</v>
      </c>
      <c r="E55" s="119">
        <v>138.07</v>
      </c>
      <c r="F55" s="120">
        <v>141</v>
      </c>
      <c r="L55" s="138">
        <f>E31+L16+L43+L52</f>
        <v>26461.08</v>
      </c>
    </row>
    <row r="56" spans="1:17" ht="16.5" thickBot="1">
      <c r="A56" s="116"/>
      <c r="B56" s="124" t="s">
        <v>103</v>
      </c>
      <c r="C56" s="116"/>
      <c r="D56" s="116"/>
      <c r="E56" s="116">
        <v>35.57</v>
      </c>
      <c r="F56" s="118"/>
    </row>
    <row r="57" spans="1:17" ht="16.5" thickBot="1">
      <c r="A57" s="116"/>
      <c r="B57" s="124" t="s">
        <v>104</v>
      </c>
      <c r="C57" s="116"/>
      <c r="D57" s="116"/>
      <c r="E57" s="116">
        <v>34.5</v>
      </c>
      <c r="F57" s="118"/>
    </row>
    <row r="58" spans="1:17" ht="16.5" thickBot="1">
      <c r="A58" s="116"/>
      <c r="B58" s="124" t="s">
        <v>105</v>
      </c>
      <c r="C58" s="116"/>
      <c r="D58" s="116"/>
      <c r="E58" s="116">
        <v>68</v>
      </c>
      <c r="F58" s="118"/>
    </row>
    <row r="59" spans="1:17" ht="63.75" thickBot="1">
      <c r="A59" s="119">
        <v>6</v>
      </c>
      <c r="B59" s="119" t="s">
        <v>123</v>
      </c>
      <c r="C59" s="119" t="s">
        <v>124</v>
      </c>
      <c r="D59" s="119">
        <v>3</v>
      </c>
      <c r="E59" s="119">
        <v>59.29</v>
      </c>
      <c r="F59" s="120">
        <v>161</v>
      </c>
    </row>
    <row r="60" spans="1:17" ht="16.5" thickBot="1">
      <c r="A60" s="116"/>
      <c r="B60" s="124" t="s">
        <v>103</v>
      </c>
      <c r="C60" s="116"/>
      <c r="D60" s="116"/>
      <c r="E60" s="116">
        <v>16.12</v>
      </c>
      <c r="F60" s="118"/>
    </row>
    <row r="61" spans="1:17" ht="16.5" thickBot="1">
      <c r="A61" s="116"/>
      <c r="B61" s="124" t="s">
        <v>104</v>
      </c>
      <c r="C61" s="116"/>
      <c r="D61" s="116"/>
      <c r="E61" s="116">
        <v>19.61</v>
      </c>
      <c r="F61" s="118"/>
    </row>
    <row r="62" spans="1:17" ht="16.5" thickBot="1">
      <c r="A62" s="116"/>
      <c r="B62" s="124" t="s">
        <v>105</v>
      </c>
      <c r="C62" s="116"/>
      <c r="D62" s="116"/>
      <c r="E62" s="116">
        <v>23.56</v>
      </c>
      <c r="F62" s="118"/>
    </row>
    <row r="63" spans="1:17" ht="32.25" thickBot="1">
      <c r="A63" s="119">
        <v>7</v>
      </c>
      <c r="B63" s="119" t="s">
        <v>125</v>
      </c>
      <c r="C63" s="119" t="s">
        <v>126</v>
      </c>
      <c r="D63" s="119">
        <v>2</v>
      </c>
      <c r="E63" s="119">
        <v>72.5</v>
      </c>
      <c r="F63" s="120">
        <v>109</v>
      </c>
    </row>
    <row r="64" spans="1:17" ht="16.5" thickBot="1">
      <c r="A64" s="116"/>
      <c r="B64" s="124" t="s">
        <v>103</v>
      </c>
      <c r="C64" s="116"/>
      <c r="D64" s="116"/>
      <c r="E64" s="116">
        <v>26.5</v>
      </c>
      <c r="F64" s="118"/>
    </row>
    <row r="65" spans="1:6" ht="16.5" thickBot="1">
      <c r="A65" s="116"/>
      <c r="B65" s="124" t="s">
        <v>104</v>
      </c>
      <c r="C65" s="116"/>
      <c r="D65" s="116"/>
      <c r="E65" s="116">
        <v>46</v>
      </c>
      <c r="F65" s="118"/>
    </row>
    <row r="66" spans="1:6" ht="63.75" thickBot="1">
      <c r="A66" s="119">
        <v>8</v>
      </c>
      <c r="B66" s="119" t="s">
        <v>127</v>
      </c>
      <c r="C66" s="119" t="s">
        <v>128</v>
      </c>
      <c r="D66" s="119">
        <v>2</v>
      </c>
      <c r="E66" s="119">
        <v>91.32</v>
      </c>
      <c r="F66" s="120"/>
    </row>
    <row r="67" spans="1:6" ht="16.5" thickBot="1">
      <c r="A67" s="116"/>
      <c r="B67" s="124" t="s">
        <v>103</v>
      </c>
      <c r="C67" s="116"/>
      <c r="D67" s="116"/>
      <c r="E67" s="116">
        <v>43.3</v>
      </c>
      <c r="F67" s="118"/>
    </row>
    <row r="68" spans="1:6" ht="16.5" thickBot="1">
      <c r="A68" s="116"/>
      <c r="B68" s="124" t="s">
        <v>104</v>
      </c>
      <c r="C68" s="116"/>
      <c r="D68" s="116"/>
      <c r="E68" s="116">
        <v>48.02</v>
      </c>
      <c r="F68" s="118"/>
    </row>
    <row r="69" spans="1:6" ht="79.5" thickBot="1">
      <c r="A69" s="119">
        <v>9</v>
      </c>
      <c r="B69" s="119" t="s">
        <v>129</v>
      </c>
      <c r="C69" s="119" t="s">
        <v>130</v>
      </c>
      <c r="D69" s="119">
        <v>1</v>
      </c>
      <c r="E69" s="119">
        <v>47</v>
      </c>
      <c r="F69" s="120"/>
    </row>
    <row r="70" spans="1:6" ht="16.5" thickBot="1">
      <c r="A70" s="116"/>
      <c r="B70" s="124" t="s">
        <v>103</v>
      </c>
      <c r="C70" s="116"/>
      <c r="D70" s="116"/>
      <c r="E70" s="116">
        <v>47</v>
      </c>
      <c r="F70" s="118"/>
    </row>
    <row r="71" spans="1:6" ht="32.25" thickBot="1">
      <c r="A71" s="119">
        <v>10</v>
      </c>
      <c r="B71" s="119" t="s">
        <v>131</v>
      </c>
      <c r="C71" s="127">
        <v>25204</v>
      </c>
      <c r="D71" s="119">
        <v>2</v>
      </c>
      <c r="E71" s="119">
        <v>82.42</v>
      </c>
      <c r="F71" s="118"/>
    </row>
    <row r="72" spans="1:6" ht="16.5" thickBot="1">
      <c r="A72" s="116"/>
      <c r="B72" s="124" t="s">
        <v>103</v>
      </c>
      <c r="C72" s="116"/>
      <c r="D72" s="116"/>
      <c r="E72" s="116">
        <v>34.1</v>
      </c>
      <c r="F72" s="118"/>
    </row>
    <row r="73" spans="1:6" ht="16.5" thickBot="1">
      <c r="A73" s="116"/>
      <c r="B73" s="124" t="s">
        <v>104</v>
      </c>
      <c r="C73" s="116"/>
      <c r="D73" s="116"/>
      <c r="E73" s="116">
        <v>48.32</v>
      </c>
      <c r="F73" s="118"/>
    </row>
    <row r="74" spans="1:6" ht="32.25" thickBot="1">
      <c r="A74" s="119">
        <v>11</v>
      </c>
      <c r="B74" s="119" t="s">
        <v>132</v>
      </c>
      <c r="C74" s="119" t="s">
        <v>133</v>
      </c>
      <c r="D74" s="119">
        <v>4</v>
      </c>
      <c r="E74" s="119">
        <v>202.64</v>
      </c>
      <c r="F74" s="120">
        <v>171</v>
      </c>
    </row>
    <row r="75" spans="1:6" ht="16.5" thickBot="1">
      <c r="A75" s="116"/>
      <c r="B75" s="124" t="s">
        <v>103</v>
      </c>
      <c r="C75" s="116"/>
      <c r="D75" s="116"/>
      <c r="E75" s="116">
        <v>36.5</v>
      </c>
      <c r="F75" s="118"/>
    </row>
    <row r="76" spans="1:6" ht="16.5" thickBot="1">
      <c r="A76" s="116"/>
      <c r="B76" s="124" t="s">
        <v>104</v>
      </c>
      <c r="C76" s="116"/>
      <c r="D76" s="116"/>
      <c r="E76" s="116">
        <v>45.5</v>
      </c>
      <c r="F76" s="118"/>
    </row>
    <row r="77" spans="1:6" ht="16.5" thickBot="1">
      <c r="A77" s="116"/>
      <c r="B77" s="124" t="s">
        <v>105</v>
      </c>
      <c r="C77" s="116"/>
      <c r="D77" s="116"/>
      <c r="E77" s="116">
        <v>67.14</v>
      </c>
      <c r="F77" s="118"/>
    </row>
    <row r="78" spans="1:6" ht="16.5" thickBot="1">
      <c r="A78" s="116"/>
      <c r="B78" s="124" t="s">
        <v>106</v>
      </c>
      <c r="C78" s="116"/>
      <c r="D78" s="116"/>
      <c r="E78" s="116">
        <v>53.5</v>
      </c>
      <c r="F78" s="118"/>
    </row>
    <row r="79" spans="1:6" ht="15.75">
      <c r="A79" s="1201">
        <v>12</v>
      </c>
      <c r="B79" s="1201" t="s">
        <v>134</v>
      </c>
      <c r="C79" s="122" t="s">
        <v>135</v>
      </c>
      <c r="D79" s="1201">
        <v>10</v>
      </c>
      <c r="E79" s="1201">
        <v>455.57</v>
      </c>
      <c r="F79" s="123">
        <v>271</v>
      </c>
    </row>
    <row r="80" spans="1:6" ht="16.5" thickBot="1">
      <c r="A80" s="1202"/>
      <c r="B80" s="1202"/>
      <c r="C80" s="119" t="s">
        <v>136</v>
      </c>
      <c r="D80" s="1202"/>
      <c r="E80" s="1202"/>
      <c r="F80" s="120">
        <v>118</v>
      </c>
    </row>
    <row r="81" spans="1:6" ht="16.5" thickBot="1">
      <c r="A81" s="116"/>
      <c r="B81" s="124" t="s">
        <v>103</v>
      </c>
      <c r="C81" s="116"/>
      <c r="D81" s="116"/>
      <c r="E81" s="116">
        <v>34.78</v>
      </c>
      <c r="F81" s="118"/>
    </row>
    <row r="82" spans="1:6" ht="16.5" thickBot="1">
      <c r="A82" s="116"/>
      <c r="B82" s="124" t="s">
        <v>104</v>
      </c>
      <c r="C82" s="116"/>
      <c r="D82" s="116"/>
      <c r="E82" s="116">
        <v>46.68</v>
      </c>
      <c r="F82" s="118"/>
    </row>
    <row r="83" spans="1:6" ht="16.5" thickBot="1">
      <c r="A83" s="116"/>
      <c r="B83" s="124" t="s">
        <v>105</v>
      </c>
      <c r="C83" s="116"/>
      <c r="D83" s="116"/>
      <c r="E83" s="116">
        <v>44</v>
      </c>
      <c r="F83" s="118"/>
    </row>
    <row r="84" spans="1:6" ht="16.5" thickBot="1">
      <c r="A84" s="116"/>
      <c r="B84" s="124" t="s">
        <v>106</v>
      </c>
      <c r="C84" s="116"/>
      <c r="D84" s="116"/>
      <c r="E84" s="116">
        <v>51</v>
      </c>
      <c r="F84" s="118"/>
    </row>
    <row r="85" spans="1:6" ht="16.5" thickBot="1">
      <c r="A85" s="116"/>
      <c r="B85" s="124" t="s">
        <v>107</v>
      </c>
      <c r="C85" s="116"/>
      <c r="D85" s="116"/>
      <c r="E85" s="116">
        <v>44</v>
      </c>
      <c r="F85" s="118"/>
    </row>
    <row r="86" spans="1:6" ht="16.5" thickBot="1">
      <c r="A86" s="116"/>
      <c r="B86" s="124" t="s">
        <v>108</v>
      </c>
      <c r="C86" s="116"/>
      <c r="D86" s="116"/>
      <c r="E86" s="116">
        <v>41.07</v>
      </c>
      <c r="F86" s="118"/>
    </row>
    <row r="87" spans="1:6" ht="16.5" thickBot="1">
      <c r="A87" s="116"/>
      <c r="B87" s="124" t="s">
        <v>109</v>
      </c>
      <c r="C87" s="116"/>
      <c r="D87" s="116"/>
      <c r="E87" s="116">
        <v>14.78</v>
      </c>
      <c r="F87" s="118"/>
    </row>
    <row r="88" spans="1:6" ht="16.5" thickBot="1">
      <c r="A88" s="116"/>
      <c r="B88" s="124" t="s">
        <v>137</v>
      </c>
      <c r="C88" s="116"/>
      <c r="D88" s="116"/>
      <c r="E88" s="116">
        <v>58.5</v>
      </c>
      <c r="F88" s="118"/>
    </row>
    <row r="89" spans="1:6" ht="16.5" thickBot="1">
      <c r="A89" s="116"/>
      <c r="B89" s="124" t="s">
        <v>138</v>
      </c>
      <c r="C89" s="116"/>
      <c r="D89" s="116"/>
      <c r="E89" s="116">
        <v>52.84</v>
      </c>
      <c r="F89" s="118"/>
    </row>
    <row r="90" spans="1:6" ht="16.5" thickBot="1">
      <c r="A90" s="116"/>
      <c r="B90" s="124" t="s">
        <v>139</v>
      </c>
      <c r="C90" s="116"/>
      <c r="D90" s="116"/>
      <c r="E90" s="116">
        <v>40.92</v>
      </c>
      <c r="F90" s="118"/>
    </row>
    <row r="91" spans="1:6" ht="95.25" thickBot="1">
      <c r="A91" s="119">
        <v>13</v>
      </c>
      <c r="B91" s="119" t="s">
        <v>140</v>
      </c>
      <c r="C91" s="119"/>
      <c r="D91" s="119">
        <v>1</v>
      </c>
      <c r="E91" s="119">
        <v>26</v>
      </c>
      <c r="F91" s="120"/>
    </row>
    <row r="92" spans="1:6" ht="16.5" thickBot="1">
      <c r="A92" s="119"/>
      <c r="B92" s="124" t="s">
        <v>103</v>
      </c>
      <c r="C92" s="116"/>
      <c r="D92" s="116"/>
      <c r="E92" s="116">
        <v>26</v>
      </c>
      <c r="F92" s="118"/>
    </row>
    <row r="93" spans="1:6" ht="95.25" thickBot="1">
      <c r="A93" s="119">
        <v>14</v>
      </c>
      <c r="B93" s="119" t="s">
        <v>141</v>
      </c>
      <c r="C93" s="119"/>
      <c r="D93" s="119">
        <v>1</v>
      </c>
      <c r="E93" s="119">
        <v>52.5</v>
      </c>
      <c r="F93" s="120"/>
    </row>
    <row r="94" spans="1:6" ht="16.5" thickBot="1">
      <c r="A94" s="119"/>
      <c r="B94" s="124" t="s">
        <v>103</v>
      </c>
      <c r="C94" s="116"/>
      <c r="D94" s="116"/>
      <c r="E94" s="116">
        <v>52.5</v>
      </c>
      <c r="F94" s="118"/>
    </row>
    <row r="95" spans="1:6">
      <c r="E95" s="132">
        <f>SUM(E34:E94)</f>
        <v>4057.6200000000003</v>
      </c>
    </row>
  </sheetData>
  <mergeCells count="53">
    <mergeCell ref="J45:J46"/>
    <mergeCell ref="K45:K46"/>
    <mergeCell ref="M31:M32"/>
    <mergeCell ref="H33:H34"/>
    <mergeCell ref="I33:I34"/>
    <mergeCell ref="K33:K34"/>
    <mergeCell ref="L33:L34"/>
    <mergeCell ref="M33:M34"/>
    <mergeCell ref="L31:L32"/>
    <mergeCell ref="I45:I46"/>
    <mergeCell ref="J27:J28"/>
    <mergeCell ref="K27:K28"/>
    <mergeCell ref="H31:H32"/>
    <mergeCell ref="I31:I32"/>
    <mergeCell ref="K31:K32"/>
    <mergeCell ref="I27:I28"/>
    <mergeCell ref="I22:I23"/>
    <mergeCell ref="K22:K23"/>
    <mergeCell ref="L22:L23"/>
    <mergeCell ref="M22:M23"/>
    <mergeCell ref="M4:M5"/>
    <mergeCell ref="I17:I18"/>
    <mergeCell ref="J17:J18"/>
    <mergeCell ref="K17:K18"/>
    <mergeCell ref="L4:L5"/>
    <mergeCell ref="J2:J3"/>
    <mergeCell ref="K2:K3"/>
    <mergeCell ref="H4:H5"/>
    <mergeCell ref="I4:I5"/>
    <mergeCell ref="K4:K5"/>
    <mergeCell ref="I2:I3"/>
    <mergeCell ref="E79:E80"/>
    <mergeCell ref="H2:H3"/>
    <mergeCell ref="H27:H28"/>
    <mergeCell ref="H45:H46"/>
    <mergeCell ref="E14:E15"/>
    <mergeCell ref="F14:F15"/>
    <mergeCell ref="H22:H23"/>
    <mergeCell ref="H17:H18"/>
    <mergeCell ref="D2:D3"/>
    <mergeCell ref="A14:A15"/>
    <mergeCell ref="B14:B15"/>
    <mergeCell ref="D14:D15"/>
    <mergeCell ref="A79:A80"/>
    <mergeCell ref="B79:B80"/>
    <mergeCell ref="D79:D80"/>
    <mergeCell ref="A32:A33"/>
    <mergeCell ref="B32:B33"/>
    <mergeCell ref="C32:C33"/>
    <mergeCell ref="D32:D33"/>
    <mergeCell ref="A2:A3"/>
    <mergeCell ref="B2:B3"/>
    <mergeCell ref="C2:C3"/>
  </mergeCells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R56"/>
  <sheetViews>
    <sheetView workbookViewId="0">
      <selection activeCell="M36" sqref="M36"/>
    </sheetView>
  </sheetViews>
  <sheetFormatPr defaultRowHeight="12.75"/>
  <cols>
    <col min="1" max="1" width="4.140625" customWidth="1"/>
    <col min="2" max="2" width="16.85546875" customWidth="1"/>
    <col min="3" max="3" width="13.140625" customWidth="1"/>
    <col min="4" max="4" width="15.42578125" customWidth="1"/>
    <col min="5" max="5" width="13" customWidth="1"/>
    <col min="6" max="6" width="14.42578125" customWidth="1"/>
    <col min="7" max="7" width="13.42578125" customWidth="1"/>
    <col min="8" max="8" width="14" customWidth="1"/>
    <col min="9" max="9" width="15.85546875" customWidth="1"/>
    <col min="10" max="10" width="11.7109375" customWidth="1"/>
    <col min="11" max="11" width="11" customWidth="1"/>
    <col min="12" max="12" width="9.7109375" bestFit="1" customWidth="1"/>
    <col min="14" max="14" width="17.140625" customWidth="1"/>
    <col min="17" max="17" width="11" bestFit="1" customWidth="1"/>
  </cols>
  <sheetData>
    <row r="2" spans="1:18" ht="13.5" thickBot="1">
      <c r="B2" s="80" t="s">
        <v>276</v>
      </c>
      <c r="P2" t="s">
        <v>283</v>
      </c>
    </row>
    <row r="3" spans="1:18" ht="15.75">
      <c r="A3" s="1199" t="s">
        <v>91</v>
      </c>
      <c r="B3" s="1199" t="s">
        <v>92</v>
      </c>
      <c r="C3" s="1199" t="s">
        <v>247</v>
      </c>
      <c r="D3" s="235"/>
      <c r="E3" s="1199" t="s">
        <v>240</v>
      </c>
      <c r="F3" s="115"/>
      <c r="G3" s="115"/>
      <c r="H3" s="115" t="s">
        <v>95</v>
      </c>
      <c r="I3" s="237"/>
      <c r="J3" s="237" t="s">
        <v>287</v>
      </c>
      <c r="K3" s="252" t="s">
        <v>288</v>
      </c>
      <c r="L3" s="252"/>
      <c r="M3" t="s">
        <v>18</v>
      </c>
      <c r="N3">
        <v>100</v>
      </c>
      <c r="O3" t="s">
        <v>282</v>
      </c>
      <c r="P3">
        <f>31+28+31+31+20+10+31+30</f>
        <v>212</v>
      </c>
      <c r="Q3">
        <f>P3*3600*24</f>
        <v>18316800</v>
      </c>
      <c r="R3" t="s">
        <v>284</v>
      </c>
    </row>
    <row r="4" spans="1:18" ht="16.5" thickBot="1">
      <c r="A4" s="1200"/>
      <c r="B4" s="1200"/>
      <c r="C4" s="1200"/>
      <c r="D4" s="236" t="s">
        <v>273</v>
      </c>
      <c r="E4" s="1200"/>
      <c r="F4" s="116" t="s">
        <v>289</v>
      </c>
      <c r="G4" s="116"/>
      <c r="H4" s="116" t="s">
        <v>96</v>
      </c>
      <c r="I4" s="237" t="s">
        <v>274</v>
      </c>
      <c r="J4" s="237"/>
      <c r="K4" s="252" t="s">
        <v>268</v>
      </c>
      <c r="L4" s="252"/>
      <c r="M4">
        <v>1000</v>
      </c>
      <c r="Q4">
        <f>N3*Q3</f>
        <v>1831680000</v>
      </c>
    </row>
    <row r="5" spans="1:18" ht="20.25" customHeight="1" thickBot="1">
      <c r="A5" s="116">
        <v>1</v>
      </c>
      <c r="B5" s="116" t="s">
        <v>163</v>
      </c>
      <c r="C5" s="219">
        <v>1268.0999999999999</v>
      </c>
      <c r="D5" s="272">
        <f>1268.1*0.6</f>
        <v>760.8599999999999</v>
      </c>
      <c r="E5" s="219">
        <v>135</v>
      </c>
      <c r="F5" s="219">
        <v>135</v>
      </c>
      <c r="G5" s="219"/>
      <c r="H5" s="219">
        <v>2360</v>
      </c>
      <c r="I5" s="242">
        <v>2360</v>
      </c>
      <c r="J5" s="239"/>
      <c r="K5" s="177">
        <f>D5/I5/3.6*1000</f>
        <v>89.555084745762699</v>
      </c>
      <c r="L5" s="252"/>
      <c r="Q5">
        <f>Q4/1000/1000</f>
        <v>1831.68</v>
      </c>
    </row>
    <row r="6" spans="1:18" ht="30" customHeight="1" thickBot="1">
      <c r="A6" s="116">
        <v>2</v>
      </c>
      <c r="B6" s="248" t="s">
        <v>241</v>
      </c>
      <c r="C6" s="219">
        <v>235.5</v>
      </c>
      <c r="D6" s="272">
        <v>220</v>
      </c>
      <c r="E6" s="219">
        <v>25</v>
      </c>
      <c r="F6" s="219">
        <v>25</v>
      </c>
      <c r="G6" s="219"/>
      <c r="H6" s="219">
        <v>165</v>
      </c>
      <c r="I6" s="228">
        <v>165</v>
      </c>
      <c r="J6" s="222"/>
      <c r="K6" s="177">
        <f t="shared" ref="K6:K25" si="0">D6/I6/3.6*1000</f>
        <v>370.37037037037032</v>
      </c>
      <c r="L6" s="252"/>
      <c r="Q6">
        <f>Q5/N3</f>
        <v>18.316800000000001</v>
      </c>
    </row>
    <row r="7" spans="1:18" ht="15" customHeight="1" thickBot="1">
      <c r="A7" s="116">
        <v>120</v>
      </c>
      <c r="B7" s="249" t="s">
        <v>242</v>
      </c>
      <c r="C7" s="262">
        <v>23.4</v>
      </c>
      <c r="D7" s="273">
        <v>70</v>
      </c>
      <c r="E7" s="262">
        <v>25</v>
      </c>
      <c r="F7" s="262">
        <v>25</v>
      </c>
      <c r="G7" s="277">
        <f>D7/9.45</f>
        <v>7.4074074074074083</v>
      </c>
      <c r="H7" s="262">
        <v>120</v>
      </c>
      <c r="I7" s="269">
        <v>250</v>
      </c>
      <c r="J7" s="263"/>
      <c r="K7" s="177"/>
      <c r="L7" s="252">
        <f>D7/I7/3.6*1000</f>
        <v>77.777777777777786</v>
      </c>
    </row>
    <row r="8" spans="1:18" ht="12.75" customHeight="1" thickBot="1">
      <c r="A8" s="116">
        <v>4</v>
      </c>
      <c r="B8" s="250" t="s">
        <v>165</v>
      </c>
      <c r="C8" s="222">
        <v>1036.2</v>
      </c>
      <c r="D8" s="242">
        <v>490</v>
      </c>
      <c r="E8" s="222">
        <v>110</v>
      </c>
      <c r="F8" s="239">
        <v>90</v>
      </c>
      <c r="G8" s="277">
        <f>D8/9.45</f>
        <v>51.851851851851855</v>
      </c>
      <c r="H8" s="254">
        <v>700</v>
      </c>
      <c r="I8" s="242">
        <v>700</v>
      </c>
      <c r="J8" s="239"/>
      <c r="K8" s="177">
        <f>D8/I8/3.6*1000</f>
        <v>194.44444444444443</v>
      </c>
      <c r="L8" s="252">
        <f>C8/H8/3.6*1000</f>
        <v>411.1904761904762</v>
      </c>
    </row>
    <row r="9" spans="1:18" ht="15" customHeight="1" thickBot="1">
      <c r="A9" s="116">
        <v>5</v>
      </c>
      <c r="B9" s="250" t="s">
        <v>243</v>
      </c>
      <c r="C9" s="222">
        <v>1177.5</v>
      </c>
      <c r="D9" s="242">
        <v>1260</v>
      </c>
      <c r="E9" s="222">
        <v>125</v>
      </c>
      <c r="F9" s="239">
        <v>150</v>
      </c>
      <c r="G9" s="277">
        <f>D9/9.45</f>
        <v>133.33333333333334</v>
      </c>
      <c r="H9" s="254">
        <v>950</v>
      </c>
      <c r="I9" s="228">
        <f>H9*1.5</f>
        <v>1425</v>
      </c>
      <c r="J9" s="222"/>
      <c r="K9" s="177">
        <f t="shared" si="0"/>
        <v>245.61403508771929</v>
      </c>
      <c r="L9" s="252"/>
      <c r="N9" t="s">
        <v>278</v>
      </c>
    </row>
    <row r="10" spans="1:18" ht="14.25" customHeight="1" thickBot="1">
      <c r="A10" s="116">
        <v>6</v>
      </c>
      <c r="B10" s="250" t="s">
        <v>244</v>
      </c>
      <c r="C10" s="222">
        <v>565.20000000000005</v>
      </c>
      <c r="D10" s="228">
        <v>565.20000000000005</v>
      </c>
      <c r="E10" s="222">
        <v>60</v>
      </c>
      <c r="F10" s="222">
        <v>60</v>
      </c>
      <c r="G10" s="277">
        <f>D10/9.45</f>
        <v>59.809523809523817</v>
      </c>
      <c r="H10" s="254">
        <v>200</v>
      </c>
      <c r="I10" s="242">
        <v>200</v>
      </c>
      <c r="J10" s="239"/>
      <c r="K10" s="177"/>
      <c r="L10" s="252">
        <f>C10/H10/3.6*1000</f>
        <v>785</v>
      </c>
      <c r="N10">
        <v>75000</v>
      </c>
      <c r="O10">
        <v>24</v>
      </c>
      <c r="P10" t="s">
        <v>277</v>
      </c>
    </row>
    <row r="11" spans="1:18" ht="14.25" customHeight="1" thickBot="1">
      <c r="A11" s="116">
        <v>7</v>
      </c>
      <c r="B11" s="237" t="s">
        <v>245</v>
      </c>
      <c r="C11" s="222">
        <v>162</v>
      </c>
      <c r="D11" s="228">
        <v>162</v>
      </c>
      <c r="E11" s="222">
        <v>2</v>
      </c>
      <c r="F11" s="222">
        <v>2</v>
      </c>
      <c r="G11" s="277">
        <f t="shared" ref="G11:G27" si="1">D11/9.45</f>
        <v>17.142857142857146</v>
      </c>
      <c r="H11" s="254">
        <v>120</v>
      </c>
      <c r="I11" s="269">
        <v>208</v>
      </c>
      <c r="J11" s="222"/>
      <c r="K11" s="256"/>
      <c r="L11" s="252">
        <f>C11/H11/3.6*1000</f>
        <v>375</v>
      </c>
      <c r="N11">
        <f>N10*O10</f>
        <v>1800000</v>
      </c>
      <c r="O11">
        <f>N11/1000</f>
        <v>1800</v>
      </c>
    </row>
    <row r="12" spans="1:18" ht="15" customHeight="1" thickBot="1">
      <c r="A12" s="116">
        <v>8</v>
      </c>
      <c r="B12" s="237" t="s">
        <v>246</v>
      </c>
      <c r="C12" s="222">
        <v>963.8</v>
      </c>
      <c r="D12" s="228">
        <v>963.8</v>
      </c>
      <c r="E12" s="222">
        <v>103</v>
      </c>
      <c r="F12" s="239">
        <v>140</v>
      </c>
      <c r="G12" s="277">
        <f t="shared" si="1"/>
        <v>101.98941798941799</v>
      </c>
      <c r="H12" s="264">
        <v>950</v>
      </c>
      <c r="I12" s="269">
        <v>912</v>
      </c>
      <c r="J12" s="263"/>
      <c r="K12" s="177">
        <f t="shared" si="0"/>
        <v>293.5550682261208</v>
      </c>
      <c r="L12" s="252"/>
      <c r="O12">
        <f>O11*0.7</f>
        <v>1260</v>
      </c>
    </row>
    <row r="13" spans="1:18" ht="13.5" customHeight="1" thickBot="1">
      <c r="A13" s="116">
        <v>9</v>
      </c>
      <c r="B13" s="237" t="s">
        <v>248</v>
      </c>
      <c r="C13" s="222">
        <v>753.6</v>
      </c>
      <c r="D13" s="242">
        <v>336</v>
      </c>
      <c r="E13" s="222">
        <v>80</v>
      </c>
      <c r="F13" s="239">
        <v>60</v>
      </c>
      <c r="G13" s="277">
        <f t="shared" si="1"/>
        <v>35.555555555555557</v>
      </c>
      <c r="H13" s="254">
        <v>640</v>
      </c>
      <c r="I13" s="242">
        <v>640</v>
      </c>
      <c r="J13" s="239" t="s">
        <v>291</v>
      </c>
      <c r="K13" s="177">
        <f t="shared" si="0"/>
        <v>145.83333333333334</v>
      </c>
      <c r="L13" s="252"/>
    </row>
    <row r="14" spans="1:18" ht="12" customHeight="1" thickBot="1">
      <c r="A14" s="116">
        <v>10</v>
      </c>
      <c r="B14" s="237" t="s">
        <v>250</v>
      </c>
      <c r="C14" s="263">
        <v>800.7</v>
      </c>
      <c r="D14" s="269">
        <v>700</v>
      </c>
      <c r="E14" s="263">
        <v>85</v>
      </c>
      <c r="F14" s="263">
        <v>85</v>
      </c>
      <c r="G14" s="277">
        <f t="shared" si="1"/>
        <v>74.074074074074076</v>
      </c>
      <c r="H14" s="264">
        <v>1000</v>
      </c>
      <c r="I14" s="269">
        <v>1000</v>
      </c>
      <c r="J14" s="263" t="s">
        <v>290</v>
      </c>
      <c r="K14" s="177">
        <f t="shared" si="0"/>
        <v>194.44444444444443</v>
      </c>
      <c r="L14" s="252"/>
      <c r="N14" t="s">
        <v>285</v>
      </c>
    </row>
    <row r="15" spans="1:18" ht="11.25" customHeight="1" thickBot="1">
      <c r="A15" s="116">
        <v>11</v>
      </c>
      <c r="B15" s="237" t="s">
        <v>249</v>
      </c>
      <c r="C15" s="263">
        <v>471</v>
      </c>
      <c r="D15" s="269">
        <f>471*0.6</f>
        <v>282.59999999999997</v>
      </c>
      <c r="E15" s="263">
        <v>50</v>
      </c>
      <c r="F15" s="263">
        <v>50</v>
      </c>
      <c r="G15" s="277">
        <f t="shared" si="1"/>
        <v>29.904761904761905</v>
      </c>
      <c r="H15" s="264">
        <v>340</v>
      </c>
      <c r="I15" s="269">
        <v>340</v>
      </c>
      <c r="J15" s="263"/>
      <c r="K15" s="177">
        <f t="shared" si="0"/>
        <v>230.88235294117644</v>
      </c>
      <c r="L15" s="252">
        <f>C15/H15/3.6*1000</f>
        <v>384.8039215686274</v>
      </c>
      <c r="N15">
        <v>24</v>
      </c>
      <c r="O15" t="s">
        <v>286</v>
      </c>
    </row>
    <row r="16" spans="1:18" ht="14.25" customHeight="1" thickBot="1">
      <c r="A16" s="116">
        <v>12</v>
      </c>
      <c r="B16" s="237" t="s">
        <v>251</v>
      </c>
      <c r="C16" s="222">
        <v>679.7</v>
      </c>
      <c r="D16" s="228">
        <v>679.7</v>
      </c>
      <c r="E16" s="222">
        <v>72</v>
      </c>
      <c r="F16" s="239">
        <v>105</v>
      </c>
      <c r="G16" s="277">
        <f t="shared" si="1"/>
        <v>71.925925925925938</v>
      </c>
      <c r="H16" s="254">
        <v>1030</v>
      </c>
      <c r="I16" s="242">
        <v>855</v>
      </c>
      <c r="J16" s="239"/>
      <c r="K16" s="177">
        <f t="shared" si="0"/>
        <v>220.82521117608837</v>
      </c>
      <c r="L16" s="252"/>
      <c r="N16">
        <f>30*N15</f>
        <v>720</v>
      </c>
    </row>
    <row r="17" spans="1:18" ht="14.25" customHeight="1" thickBot="1">
      <c r="A17" s="116">
        <v>13</v>
      </c>
      <c r="B17" s="237" t="s">
        <v>252</v>
      </c>
      <c r="C17" s="222">
        <v>942</v>
      </c>
      <c r="D17" s="228">
        <v>942</v>
      </c>
      <c r="E17" s="222">
        <v>100</v>
      </c>
      <c r="F17" s="222">
        <v>100</v>
      </c>
      <c r="G17" s="277">
        <f t="shared" si="1"/>
        <v>99.682539682539684</v>
      </c>
      <c r="H17" s="254">
        <v>800</v>
      </c>
      <c r="I17" s="242">
        <v>800</v>
      </c>
      <c r="J17" s="239"/>
      <c r="K17" s="177">
        <f t="shared" si="0"/>
        <v>327.08333333333331</v>
      </c>
      <c r="L17" s="252"/>
      <c r="N17">
        <f>N16*0.7</f>
        <v>503.99999999999994</v>
      </c>
    </row>
    <row r="18" spans="1:18" ht="14.25" customHeight="1" thickBot="1">
      <c r="A18" s="116">
        <v>14</v>
      </c>
      <c r="B18" s="237" t="s">
        <v>253</v>
      </c>
      <c r="C18" s="222">
        <v>1303.5999999999999</v>
      </c>
      <c r="D18" s="242">
        <v>900</v>
      </c>
      <c r="E18" s="222">
        <v>139</v>
      </c>
      <c r="F18" s="239">
        <v>170</v>
      </c>
      <c r="G18" s="277">
        <f t="shared" si="1"/>
        <v>95.238095238095241</v>
      </c>
      <c r="H18" s="254">
        <v>2000</v>
      </c>
      <c r="I18" s="242">
        <v>2000</v>
      </c>
      <c r="J18" s="239"/>
      <c r="K18" s="177">
        <f t="shared" si="0"/>
        <v>125</v>
      </c>
      <c r="L18" s="252"/>
    </row>
    <row r="19" spans="1:18" ht="14.25" customHeight="1" thickBot="1">
      <c r="A19" s="116">
        <v>15</v>
      </c>
      <c r="B19" s="237" t="s">
        <v>254</v>
      </c>
      <c r="C19" s="222">
        <v>710.1</v>
      </c>
      <c r="D19" s="242">
        <v>508</v>
      </c>
      <c r="E19" s="222">
        <v>76</v>
      </c>
      <c r="F19" s="239">
        <v>105</v>
      </c>
      <c r="G19" s="277">
        <f t="shared" si="1"/>
        <v>53.75661375661376</v>
      </c>
      <c r="H19" s="254">
        <v>1000</v>
      </c>
      <c r="I19" s="242">
        <v>1000</v>
      </c>
      <c r="J19" s="239"/>
      <c r="K19" s="177">
        <f t="shared" si="0"/>
        <v>141.11111111111111</v>
      </c>
      <c r="L19" s="252"/>
    </row>
    <row r="20" spans="1:18" ht="14.25" customHeight="1" thickBot="1">
      <c r="A20" s="116">
        <v>16</v>
      </c>
      <c r="B20" s="251" t="s">
        <v>292</v>
      </c>
      <c r="C20" s="222">
        <f>13753+2355.1</f>
        <v>16108.1</v>
      </c>
      <c r="D20" s="242">
        <f>5850+650</f>
        <v>6500</v>
      </c>
      <c r="E20" s="263">
        <f>1466+251</f>
        <v>1717</v>
      </c>
      <c r="F20" s="263">
        <v>600</v>
      </c>
      <c r="G20" s="277">
        <f t="shared" si="1"/>
        <v>687.83068783068791</v>
      </c>
      <c r="H20" s="264">
        <f>7100+750</f>
        <v>7850</v>
      </c>
      <c r="I20" s="269">
        <v>7100</v>
      </c>
      <c r="J20" s="263"/>
      <c r="K20" s="177">
        <f>D20/I20/3.6*1000</f>
        <v>254.30359937402193</v>
      </c>
      <c r="L20" s="252">
        <f>C20/H20/3.6*1000</f>
        <v>569.9964614295825</v>
      </c>
      <c r="M20" s="252"/>
      <c r="N20">
        <v>78000</v>
      </c>
    </row>
    <row r="21" spans="1:18" ht="14.25" customHeight="1" thickBot="1">
      <c r="A21" s="116">
        <v>17</v>
      </c>
      <c r="B21" s="237" t="s">
        <v>261</v>
      </c>
      <c r="C21" s="222">
        <v>2333.3000000000002</v>
      </c>
      <c r="D21" s="242">
        <v>2645</v>
      </c>
      <c r="E21" s="222">
        <v>249</v>
      </c>
      <c r="F21" s="239">
        <v>690</v>
      </c>
      <c r="G21" s="277">
        <f t="shared" si="1"/>
        <v>279.8941798941799</v>
      </c>
      <c r="H21" s="254">
        <v>4720</v>
      </c>
      <c r="I21" s="228">
        <v>4720</v>
      </c>
      <c r="J21" s="222"/>
      <c r="K21" s="177">
        <f t="shared" si="0"/>
        <v>155.66148775894538</v>
      </c>
      <c r="L21" s="252"/>
      <c r="N21">
        <f>42*N22</f>
        <v>35.699999999999996</v>
      </c>
    </row>
    <row r="22" spans="1:18" ht="14.25" customHeight="1" thickBot="1">
      <c r="A22" s="116">
        <v>18</v>
      </c>
      <c r="B22" s="251" t="s">
        <v>262</v>
      </c>
      <c r="C22" s="222"/>
      <c r="D22" s="274">
        <v>2355.1</v>
      </c>
      <c r="E22" s="222"/>
      <c r="F22" s="268">
        <v>251</v>
      </c>
      <c r="G22" s="277">
        <f t="shared" si="1"/>
        <v>249.21693121693121</v>
      </c>
      <c r="H22" s="254">
        <v>750</v>
      </c>
      <c r="I22" s="228">
        <v>750</v>
      </c>
      <c r="J22" s="222"/>
      <c r="K22" s="256">
        <f t="shared" si="0"/>
        <v>872.25925925925912</v>
      </c>
      <c r="L22" s="252"/>
      <c r="N22">
        <v>0.85</v>
      </c>
    </row>
    <row r="23" spans="1:18" ht="14.25" customHeight="1" thickBot="1">
      <c r="A23" s="116">
        <v>19</v>
      </c>
      <c r="B23" s="237" t="s">
        <v>263</v>
      </c>
      <c r="C23" s="222">
        <v>706.5</v>
      </c>
      <c r="D23" s="242">
        <f>C23*0.4</f>
        <v>282.60000000000002</v>
      </c>
      <c r="E23" s="222">
        <v>75</v>
      </c>
      <c r="F23" s="222">
        <v>75</v>
      </c>
      <c r="G23" s="277">
        <f t="shared" si="1"/>
        <v>29.904761904761909</v>
      </c>
      <c r="H23" s="254">
        <v>700</v>
      </c>
      <c r="I23" s="269">
        <v>330</v>
      </c>
      <c r="J23" s="263"/>
      <c r="K23" s="177">
        <f t="shared" si="0"/>
        <v>237.87878787878788</v>
      </c>
      <c r="L23" s="252"/>
      <c r="N23">
        <f>N20*N21</f>
        <v>2784599.9999999995</v>
      </c>
    </row>
    <row r="24" spans="1:18" ht="14.25" customHeight="1" thickBot="1">
      <c r="A24" s="116">
        <v>20</v>
      </c>
      <c r="B24" s="237" t="s">
        <v>264</v>
      </c>
      <c r="C24" s="222">
        <v>583.29999999999995</v>
      </c>
      <c r="D24" s="242">
        <f>140*I24*3.6/1000</f>
        <v>1283.6880000000001</v>
      </c>
      <c r="E24" s="222">
        <v>62</v>
      </c>
      <c r="F24" s="222">
        <v>62</v>
      </c>
      <c r="G24" s="277">
        <f t="shared" si="1"/>
        <v>135.84000000000003</v>
      </c>
      <c r="H24" s="254">
        <v>729</v>
      </c>
      <c r="I24" s="242">
        <v>2547</v>
      </c>
      <c r="J24" s="239"/>
      <c r="K24" s="177">
        <f t="shared" si="0"/>
        <v>139.99999999999997</v>
      </c>
      <c r="L24" s="252"/>
      <c r="N24">
        <f>N23/1000</f>
        <v>2784.5999999999995</v>
      </c>
    </row>
    <row r="25" spans="1:18" ht="14.25" customHeight="1" thickBot="1">
      <c r="A25" s="116">
        <v>21</v>
      </c>
      <c r="B25" s="237" t="s">
        <v>265</v>
      </c>
      <c r="C25" s="222">
        <v>706.5</v>
      </c>
      <c r="D25" s="228">
        <f>706.5*0.4</f>
        <v>282.60000000000002</v>
      </c>
      <c r="E25" s="222">
        <v>75</v>
      </c>
      <c r="F25" s="222">
        <v>75</v>
      </c>
      <c r="G25" s="277">
        <f t="shared" si="1"/>
        <v>29.904761904761909</v>
      </c>
      <c r="H25" s="254">
        <v>677</v>
      </c>
      <c r="I25" s="228">
        <v>677</v>
      </c>
      <c r="J25" s="222"/>
      <c r="K25" s="177">
        <f t="shared" si="0"/>
        <v>115.95273264401773</v>
      </c>
      <c r="L25" s="252"/>
      <c r="N25">
        <f>N24*0.95</f>
        <v>2645.3699999999994</v>
      </c>
      <c r="P25" s="253"/>
      <c r="Q25" s="253" t="s">
        <v>281</v>
      </c>
      <c r="R25" t="s">
        <v>293</v>
      </c>
    </row>
    <row r="26" spans="1:18" ht="14.25" customHeight="1" thickBot="1">
      <c r="A26" s="116">
        <v>22</v>
      </c>
      <c r="B26" s="237" t="s">
        <v>266</v>
      </c>
      <c r="C26" s="222">
        <v>2119</v>
      </c>
      <c r="D26" s="242">
        <f>C26*F26/E26*0.8</f>
        <v>1500.1769911504425</v>
      </c>
      <c r="E26" s="222">
        <v>226</v>
      </c>
      <c r="F26" s="239">
        <v>200</v>
      </c>
      <c r="G26" s="277">
        <f t="shared" si="1"/>
        <v>158.74888795242779</v>
      </c>
      <c r="H26" s="254">
        <v>602</v>
      </c>
      <c r="I26" s="270">
        <f>600*3</f>
        <v>1800</v>
      </c>
      <c r="J26" s="239"/>
      <c r="K26" s="177">
        <f>D26/I26/3.6*1000</f>
        <v>231.50879493062385</v>
      </c>
      <c r="P26" s="265" t="s">
        <v>280</v>
      </c>
      <c r="Q26" s="253">
        <v>171</v>
      </c>
      <c r="R26" s="39">
        <f>Q26*0.8</f>
        <v>136.80000000000001</v>
      </c>
    </row>
    <row r="27" spans="1:18" ht="14.25" customHeight="1" thickBot="1">
      <c r="A27" s="116">
        <v>23</v>
      </c>
      <c r="B27" s="237" t="s">
        <v>267</v>
      </c>
      <c r="C27" s="222">
        <v>162.30000000000001</v>
      </c>
      <c r="D27" s="228">
        <v>162.30000000000001</v>
      </c>
      <c r="E27" s="222">
        <v>17</v>
      </c>
      <c r="F27" s="222">
        <v>17</v>
      </c>
      <c r="G27" s="277">
        <f t="shared" si="1"/>
        <v>17.174603174603178</v>
      </c>
      <c r="H27" s="254">
        <v>165</v>
      </c>
      <c r="I27" s="242">
        <v>165</v>
      </c>
      <c r="J27" s="239"/>
      <c r="K27" s="177">
        <f>D27/I27/3.6*1000</f>
        <v>273.23232323232327</v>
      </c>
      <c r="L27" s="252"/>
      <c r="Q27" s="266">
        <f>L29</f>
        <v>171.28881557473306</v>
      </c>
    </row>
    <row r="28" spans="1:18" ht="14.25" customHeight="1">
      <c r="A28" s="237"/>
      <c r="B28" s="237"/>
      <c r="C28" s="259">
        <f>SUM(C5:C27)</f>
        <v>33811.4</v>
      </c>
      <c r="D28" s="259">
        <f>SUM(D5:D27)</f>
        <v>23851.624991150435</v>
      </c>
      <c r="F28" s="243">
        <f>SUM(F5:F27)</f>
        <v>3272</v>
      </c>
      <c r="G28" s="275"/>
      <c r="H28" s="255">
        <f>SUM(H5:H27)</f>
        <v>28568</v>
      </c>
      <c r="I28" s="271">
        <f>SUM(I5:I27)</f>
        <v>30944</v>
      </c>
      <c r="J28" s="239"/>
      <c r="K28" s="257">
        <f>D28/I28/3.6*1000</f>
        <v>214.11101946841634</v>
      </c>
      <c r="L28" s="252" t="s">
        <v>269</v>
      </c>
      <c r="N28" t="s">
        <v>270</v>
      </c>
      <c r="O28" s="39"/>
      <c r="P28" s="39">
        <v>209</v>
      </c>
      <c r="Q28" s="252">
        <f>P28*0.8</f>
        <v>167.20000000000002</v>
      </c>
    </row>
    <row r="29" spans="1:18" ht="15.75">
      <c r="A29" s="1213">
        <v>3</v>
      </c>
      <c r="B29" s="1213" t="s">
        <v>279</v>
      </c>
      <c r="C29" s="229">
        <f>C28*0.8</f>
        <v>27049.120000000003</v>
      </c>
      <c r="D29" s="260">
        <f>D28*0.8</f>
        <v>19081.299992920347</v>
      </c>
      <c r="E29" s="1214"/>
      <c r="F29" s="238"/>
      <c r="G29" s="276"/>
      <c r="H29" s="1209">
        <v>7100</v>
      </c>
      <c r="I29" s="237">
        <v>26718</v>
      </c>
      <c r="J29" s="237"/>
      <c r="K29" s="252" t="s">
        <v>271</v>
      </c>
      <c r="L29" s="258">
        <f>D29/I28/3.6*1000</f>
        <v>171.28881557473306</v>
      </c>
      <c r="N29" s="217" t="s">
        <v>275</v>
      </c>
      <c r="O29" s="217">
        <f>P28*0.8</f>
        <v>167.20000000000002</v>
      </c>
      <c r="P29" t="s">
        <v>272</v>
      </c>
    </row>
    <row r="30" spans="1:18" ht="15.75">
      <c r="A30" s="1213"/>
      <c r="B30" s="1213"/>
      <c r="C30" s="238"/>
      <c r="D30" s="283">
        <f>D29*0.8</f>
        <v>15265.039994336279</v>
      </c>
      <c r="E30" s="1214"/>
      <c r="F30" s="283">
        <f>D28*0.8</f>
        <v>19081.299992920347</v>
      </c>
      <c r="G30" s="276"/>
      <c r="H30" s="1210"/>
      <c r="I30" s="282">
        <f>I28-I29</f>
        <v>4226</v>
      </c>
      <c r="J30" s="237"/>
      <c r="K30" s="252"/>
      <c r="L30" s="252"/>
    </row>
    <row r="31" spans="1:18" ht="15.75">
      <c r="A31" s="1211">
        <v>4</v>
      </c>
      <c r="B31" s="1211" t="s">
        <v>169</v>
      </c>
      <c r="C31" s="128"/>
      <c r="D31" s="128"/>
      <c r="E31" s="128" t="s">
        <v>170</v>
      </c>
      <c r="F31" s="128"/>
      <c r="G31" s="128"/>
      <c r="H31" s="1212">
        <v>1030</v>
      </c>
      <c r="I31" s="244"/>
      <c r="J31" s="244"/>
      <c r="K31" s="91">
        <f>0.8*K28</f>
        <v>171.28881557473309</v>
      </c>
    </row>
    <row r="32" spans="1:18" ht="16.5" thickBot="1">
      <c r="A32" s="1200"/>
      <c r="B32" s="1200"/>
      <c r="C32" s="116"/>
      <c r="D32" s="116"/>
      <c r="E32" s="116" t="s">
        <v>171</v>
      </c>
      <c r="F32" s="116"/>
      <c r="G32" s="116"/>
      <c r="H32" s="1200"/>
      <c r="I32" s="244"/>
      <c r="J32" s="244"/>
    </row>
    <row r="33" spans="1:10" ht="48" customHeight="1" thickBot="1">
      <c r="A33" s="116">
        <v>5</v>
      </c>
      <c r="B33" s="116" t="s">
        <v>172</v>
      </c>
      <c r="C33" s="116"/>
      <c r="D33" s="116"/>
      <c r="E33" s="116">
        <f t="shared" ref="E33:E39" si="2">D23/E23</f>
        <v>3.7680000000000002</v>
      </c>
      <c r="F33" s="116"/>
      <c r="G33" s="116"/>
      <c r="H33" s="116">
        <v>1000</v>
      </c>
      <c r="I33" s="244"/>
      <c r="J33" s="1207">
        <v>363665</v>
      </c>
    </row>
    <row r="34" spans="1:10" ht="32.25" customHeight="1" thickBot="1">
      <c r="A34" s="116">
        <v>6</v>
      </c>
      <c r="B34" s="116" t="s">
        <v>173</v>
      </c>
      <c r="C34" s="116"/>
      <c r="D34" s="116"/>
      <c r="E34" s="116">
        <f t="shared" si="2"/>
        <v>20.704645161290323</v>
      </c>
      <c r="F34" s="130"/>
      <c r="G34" s="130"/>
      <c r="H34" s="116">
        <v>1000</v>
      </c>
      <c r="I34" s="244"/>
      <c r="J34" s="1208"/>
    </row>
    <row r="35" spans="1:10" ht="48" customHeight="1" thickBot="1">
      <c r="A35" s="116">
        <v>7</v>
      </c>
      <c r="B35" s="116" t="s">
        <v>174</v>
      </c>
      <c r="C35" s="116"/>
      <c r="D35" s="116"/>
      <c r="E35" s="116">
        <f t="shared" si="2"/>
        <v>3.7680000000000002</v>
      </c>
      <c r="F35" s="116"/>
      <c r="G35" s="116"/>
      <c r="H35" s="116">
        <v>640</v>
      </c>
      <c r="I35" s="244"/>
      <c r="J35" s="278">
        <v>30944</v>
      </c>
    </row>
    <row r="36" spans="1:10" ht="32.25" customHeight="1" thickBot="1">
      <c r="A36" s="116">
        <v>8</v>
      </c>
      <c r="B36" s="116" t="s">
        <v>175</v>
      </c>
      <c r="C36" s="116"/>
      <c r="D36" s="116"/>
      <c r="E36" s="116">
        <f t="shared" si="2"/>
        <v>6.6379512882762945</v>
      </c>
      <c r="F36" s="116"/>
      <c r="G36" s="116"/>
      <c r="H36" s="116">
        <v>950</v>
      </c>
      <c r="I36" s="244"/>
      <c r="J36" s="279">
        <v>94981.09</v>
      </c>
    </row>
    <row r="37" spans="1:10" ht="79.5" customHeight="1" thickBot="1">
      <c r="A37" s="116">
        <v>9</v>
      </c>
      <c r="B37" s="116" t="s">
        <v>177</v>
      </c>
      <c r="C37" s="116"/>
      <c r="D37" s="116"/>
      <c r="E37" s="116">
        <f t="shared" si="2"/>
        <v>9.5470588235294116</v>
      </c>
      <c r="F37" s="116"/>
      <c r="G37" s="116"/>
      <c r="H37" s="135">
        <v>950</v>
      </c>
      <c r="I37" s="245"/>
      <c r="J37" s="280">
        <f>SUM(J33:J36)</f>
        <v>489590.08999999997</v>
      </c>
    </row>
    <row r="38" spans="1:10" ht="32.25" customHeight="1" thickBot="1">
      <c r="A38" s="116">
        <v>10</v>
      </c>
      <c r="B38" s="116" t="s">
        <v>179</v>
      </c>
      <c r="C38" s="116"/>
      <c r="D38" s="116"/>
      <c r="E38" s="116" t="e">
        <f t="shared" si="2"/>
        <v>#DIV/0!</v>
      </c>
      <c r="F38" s="116"/>
      <c r="G38" s="116"/>
      <c r="H38" s="116">
        <v>2000</v>
      </c>
      <c r="I38" s="244"/>
      <c r="J38" s="244"/>
    </row>
    <row r="39" spans="1:10" ht="63.75" customHeight="1" thickBot="1">
      <c r="A39" s="116">
        <v>11</v>
      </c>
      <c r="B39" s="116" t="s">
        <v>180</v>
      </c>
      <c r="C39" s="116"/>
      <c r="D39" s="116"/>
      <c r="E39" s="116" t="e">
        <f t="shared" si="2"/>
        <v>#DIV/0!</v>
      </c>
      <c r="F39" s="116"/>
      <c r="G39" s="116"/>
      <c r="H39" s="135">
        <v>4720</v>
      </c>
      <c r="I39" s="245"/>
      <c r="J39" s="245"/>
    </row>
    <row r="40" spans="1:10" ht="32.25" customHeight="1" thickBot="1">
      <c r="A40" s="116">
        <v>12</v>
      </c>
      <c r="B40" s="116" t="s">
        <v>182</v>
      </c>
      <c r="C40" s="116"/>
      <c r="D40" s="116"/>
      <c r="E40" s="130">
        <v>15067</v>
      </c>
      <c r="F40" s="130"/>
      <c r="G40" s="130"/>
      <c r="H40" s="124">
        <v>800</v>
      </c>
      <c r="I40" s="246"/>
      <c r="J40" s="246"/>
    </row>
    <row r="52" spans="8:8" ht="13.5" thickBot="1"/>
    <row r="53" spans="8:8" ht="13.5" thickBot="1">
      <c r="H53" s="286">
        <v>363665</v>
      </c>
    </row>
    <row r="54" spans="8:8" ht="15.75" thickBot="1">
      <c r="H54" s="278">
        <v>30944</v>
      </c>
    </row>
    <row r="55" spans="8:8" ht="13.5" thickBot="1">
      <c r="H55" s="285">
        <v>94981.09</v>
      </c>
    </row>
    <row r="56" spans="8:8">
      <c r="H56" s="77">
        <f>SUM(H53:H55)</f>
        <v>489590.08999999997</v>
      </c>
    </row>
  </sheetData>
  <mergeCells count="12">
    <mergeCell ref="A3:A4"/>
    <mergeCell ref="B3:B4"/>
    <mergeCell ref="C3:C4"/>
    <mergeCell ref="E3:E4"/>
    <mergeCell ref="A29:A30"/>
    <mergeCell ref="B29:B30"/>
    <mergeCell ref="E29:E30"/>
    <mergeCell ref="J33:J34"/>
    <mergeCell ref="H29:H30"/>
    <mergeCell ref="A31:A32"/>
    <mergeCell ref="B31:B32"/>
    <mergeCell ref="H31:H32"/>
  </mergeCells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Q40"/>
  <sheetViews>
    <sheetView workbookViewId="0">
      <selection activeCell="P31" sqref="P31"/>
    </sheetView>
  </sheetViews>
  <sheetFormatPr defaultRowHeight="12.75"/>
  <cols>
    <col min="1" max="1" width="4.140625" customWidth="1"/>
    <col min="2" max="2" width="16.85546875" customWidth="1"/>
    <col min="3" max="3" width="13.140625" customWidth="1"/>
    <col min="4" max="4" width="10.140625" customWidth="1"/>
    <col min="5" max="5" width="13" customWidth="1"/>
    <col min="6" max="6" width="9.7109375" customWidth="1"/>
    <col min="7" max="7" width="14" customWidth="1"/>
    <col min="8" max="9" width="11.7109375" customWidth="1"/>
    <col min="10" max="10" width="11" customWidth="1"/>
    <col min="11" max="11" width="9.7109375" bestFit="1" customWidth="1"/>
    <col min="13" max="13" width="17.140625" customWidth="1"/>
    <col min="16" max="16" width="11" bestFit="1" customWidth="1"/>
  </cols>
  <sheetData>
    <row r="2" spans="1:17" ht="13.5" thickBot="1">
      <c r="B2" s="80" t="s">
        <v>276</v>
      </c>
      <c r="O2" t="s">
        <v>283</v>
      </c>
    </row>
    <row r="3" spans="1:17" ht="15.75">
      <c r="A3" s="1199" t="s">
        <v>91</v>
      </c>
      <c r="B3" s="1199" t="s">
        <v>92</v>
      </c>
      <c r="C3" s="1199" t="s">
        <v>247</v>
      </c>
      <c r="D3" s="125"/>
      <c r="E3" s="1199" t="s">
        <v>240</v>
      </c>
      <c r="F3" s="115"/>
      <c r="G3" s="115" t="s">
        <v>95</v>
      </c>
      <c r="H3" s="237"/>
      <c r="I3" s="237" t="s">
        <v>287</v>
      </c>
      <c r="J3" s="252" t="s">
        <v>288</v>
      </c>
      <c r="K3" s="252"/>
      <c r="L3" t="s">
        <v>18</v>
      </c>
      <c r="M3">
        <v>100</v>
      </c>
      <c r="N3" t="s">
        <v>282</v>
      </c>
      <c r="O3">
        <f>31+28+31+31+20+10+31+30</f>
        <v>212</v>
      </c>
      <c r="P3">
        <f>O3*3600*24</f>
        <v>18316800</v>
      </c>
      <c r="Q3" t="s">
        <v>284</v>
      </c>
    </row>
    <row r="4" spans="1:17" ht="32.25" thickBot="1">
      <c r="A4" s="1200"/>
      <c r="B4" s="1200"/>
      <c r="C4" s="1200"/>
      <c r="D4" s="126" t="s">
        <v>273</v>
      </c>
      <c r="E4" s="1200"/>
      <c r="F4" s="116" t="s">
        <v>289</v>
      </c>
      <c r="G4" s="116" t="s">
        <v>96</v>
      </c>
      <c r="H4" s="237" t="s">
        <v>274</v>
      </c>
      <c r="I4" s="237"/>
      <c r="J4" s="252" t="s">
        <v>268</v>
      </c>
      <c r="K4" s="252"/>
      <c r="L4">
        <v>1000</v>
      </c>
      <c r="P4">
        <f>M3*P3</f>
        <v>1831680000</v>
      </c>
    </row>
    <row r="5" spans="1:17" ht="20.25" customHeight="1" thickBot="1">
      <c r="A5" s="116">
        <v>1</v>
      </c>
      <c r="B5" s="116" t="s">
        <v>163</v>
      </c>
      <c r="C5" s="219">
        <v>1268.0999999999999</v>
      </c>
      <c r="D5" s="240"/>
      <c r="E5" s="219">
        <v>135</v>
      </c>
      <c r="F5" s="240"/>
      <c r="G5" s="219">
        <v>2300</v>
      </c>
      <c r="H5" s="239">
        <v>2300</v>
      </c>
      <c r="I5" s="239"/>
      <c r="J5" s="256">
        <f>C5/G5/3.6*1000</f>
        <v>153.15217391304344</v>
      </c>
      <c r="K5" s="252"/>
      <c r="P5">
        <f>P4/1000/1000</f>
        <v>1831.68</v>
      </c>
    </row>
    <row r="6" spans="1:17" ht="30" customHeight="1" thickBot="1">
      <c r="A6" s="116">
        <v>2</v>
      </c>
      <c r="B6" s="248" t="s">
        <v>241</v>
      </c>
      <c r="C6" s="219">
        <v>235.5</v>
      </c>
      <c r="D6" s="240"/>
      <c r="E6" s="219">
        <v>25</v>
      </c>
      <c r="F6" s="240"/>
      <c r="G6" s="219">
        <v>165</v>
      </c>
      <c r="H6" s="222">
        <v>165</v>
      </c>
      <c r="I6" s="222"/>
      <c r="J6" s="256">
        <f>C6/G6/3.6*1000</f>
        <v>396.46464646464648</v>
      </c>
      <c r="K6" s="252"/>
      <c r="P6">
        <f>P5/M3</f>
        <v>18.316800000000001</v>
      </c>
    </row>
    <row r="7" spans="1:17" ht="15" customHeight="1" thickBot="1">
      <c r="A7" s="116">
        <v>120</v>
      </c>
      <c r="B7" s="249" t="s">
        <v>242</v>
      </c>
      <c r="C7" s="220">
        <v>23.4</v>
      </c>
      <c r="D7" s="241"/>
      <c r="E7" s="220">
        <v>2</v>
      </c>
      <c r="F7" s="241"/>
      <c r="G7" s="220">
        <v>120</v>
      </c>
      <c r="H7" s="222">
        <v>120</v>
      </c>
      <c r="I7" s="222"/>
      <c r="J7" s="256"/>
      <c r="K7" s="252">
        <f>C7/G7/3.6*1000</f>
        <v>54.166666666666664</v>
      </c>
    </row>
    <row r="8" spans="1:17" ht="12.75" customHeight="1" thickBot="1">
      <c r="A8" s="116">
        <v>4</v>
      </c>
      <c r="B8" s="250" t="s">
        <v>165</v>
      </c>
      <c r="C8" s="222">
        <v>1036.2</v>
      </c>
      <c r="D8" s="239">
        <v>504</v>
      </c>
      <c r="E8" s="222">
        <v>110</v>
      </c>
      <c r="F8" s="239">
        <v>90</v>
      </c>
      <c r="G8" s="254">
        <v>700</v>
      </c>
      <c r="H8" s="239">
        <v>700</v>
      </c>
      <c r="I8" s="239"/>
      <c r="J8" s="252">
        <f>C8/G8/3.6*1000</f>
        <v>411.1904761904762</v>
      </c>
    </row>
    <row r="9" spans="1:17" ht="15" customHeight="1" thickBot="1">
      <c r="A9" s="116">
        <v>5</v>
      </c>
      <c r="B9" s="250" t="s">
        <v>243</v>
      </c>
      <c r="C9" s="222">
        <v>1177.5</v>
      </c>
      <c r="D9" s="239">
        <v>1260</v>
      </c>
      <c r="E9" s="222">
        <v>125</v>
      </c>
      <c r="F9" s="239">
        <v>150</v>
      </c>
      <c r="G9" s="254">
        <v>950</v>
      </c>
      <c r="H9" s="222">
        <f>G9*1.5</f>
        <v>1425</v>
      </c>
      <c r="I9" s="222"/>
      <c r="J9" s="256">
        <f>C9/G9/3.6*1000</f>
        <v>344.29824561403507</v>
      </c>
      <c r="K9" s="252"/>
      <c r="M9" t="s">
        <v>278</v>
      </c>
    </row>
    <row r="10" spans="1:17" ht="14.25" customHeight="1" thickBot="1">
      <c r="A10" s="116">
        <v>6</v>
      </c>
      <c r="B10" s="250" t="s">
        <v>244</v>
      </c>
      <c r="C10" s="222">
        <v>565.20000000000005</v>
      </c>
      <c r="D10" s="239"/>
      <c r="E10" s="222">
        <v>60</v>
      </c>
      <c r="F10" s="239"/>
      <c r="G10" s="254">
        <v>200</v>
      </c>
      <c r="H10" s="239">
        <v>200</v>
      </c>
      <c r="I10" s="239"/>
      <c r="J10" s="256"/>
      <c r="K10" s="252">
        <f>C10/G10/3.6*1000</f>
        <v>785</v>
      </c>
      <c r="M10">
        <v>75000</v>
      </c>
      <c r="N10">
        <v>24</v>
      </c>
      <c r="O10" t="s">
        <v>277</v>
      </c>
    </row>
    <row r="11" spans="1:17" ht="14.25" customHeight="1" thickBot="1">
      <c r="A11" s="116">
        <v>7</v>
      </c>
      <c r="B11" s="221" t="s">
        <v>245</v>
      </c>
      <c r="C11" s="222">
        <v>16.2</v>
      </c>
      <c r="D11" s="239"/>
      <c r="E11" s="222">
        <v>2</v>
      </c>
      <c r="F11" s="239"/>
      <c r="G11" s="254">
        <v>120</v>
      </c>
      <c r="H11" s="222">
        <v>120</v>
      </c>
      <c r="I11" s="222"/>
      <c r="J11" s="256"/>
      <c r="K11" s="252">
        <f>C11/G11/3.6*1000</f>
        <v>37.499999999999993</v>
      </c>
      <c r="M11">
        <f>M10*N10</f>
        <v>1800000</v>
      </c>
      <c r="N11">
        <f>M11/1000</f>
        <v>1800</v>
      </c>
    </row>
    <row r="12" spans="1:17" ht="15" customHeight="1" thickBot="1">
      <c r="A12" s="116">
        <v>8</v>
      </c>
      <c r="B12" s="221" t="s">
        <v>246</v>
      </c>
      <c r="C12" s="222">
        <v>963.8</v>
      </c>
      <c r="D12" s="239"/>
      <c r="E12" s="222">
        <v>103</v>
      </c>
      <c r="F12" s="239">
        <v>140</v>
      </c>
      <c r="G12" s="254">
        <v>950</v>
      </c>
      <c r="H12" s="239">
        <v>950</v>
      </c>
      <c r="I12" s="239"/>
      <c r="J12" s="256">
        <f t="shared" ref="J12:J19" si="0">C12/G12/3.6*1000</f>
        <v>281.81286549707602</v>
      </c>
      <c r="K12" s="252"/>
      <c r="N12">
        <f>N11*0.7</f>
        <v>1260</v>
      </c>
    </row>
    <row r="13" spans="1:17" ht="13.5" customHeight="1" thickBot="1">
      <c r="A13" s="116">
        <v>9</v>
      </c>
      <c r="B13" s="221" t="s">
        <v>248</v>
      </c>
      <c r="C13" s="222">
        <v>753.6</v>
      </c>
      <c r="D13" s="239">
        <v>336</v>
      </c>
      <c r="E13" s="222">
        <v>80</v>
      </c>
      <c r="F13" s="239">
        <v>60</v>
      </c>
      <c r="G13" s="254">
        <v>640</v>
      </c>
      <c r="H13" s="239">
        <v>640</v>
      </c>
      <c r="I13" s="239" t="s">
        <v>291</v>
      </c>
      <c r="J13" s="256">
        <f t="shared" si="0"/>
        <v>327.08333333333331</v>
      </c>
      <c r="K13" s="252"/>
    </row>
    <row r="14" spans="1:17" ht="12" customHeight="1" thickBot="1">
      <c r="A14" s="116">
        <v>10</v>
      </c>
      <c r="B14" s="221" t="s">
        <v>250</v>
      </c>
      <c r="C14" s="222">
        <v>800.7</v>
      </c>
      <c r="D14" s="239">
        <v>700</v>
      </c>
      <c r="E14" s="222">
        <v>85</v>
      </c>
      <c r="F14" s="239"/>
      <c r="G14" s="254">
        <v>1000</v>
      </c>
      <c r="H14" s="239">
        <v>1000</v>
      </c>
      <c r="I14" s="239" t="s">
        <v>290</v>
      </c>
      <c r="J14" s="256">
        <f t="shared" si="0"/>
        <v>222.41666666666669</v>
      </c>
      <c r="K14" s="252"/>
      <c r="M14" t="s">
        <v>285</v>
      </c>
    </row>
    <row r="15" spans="1:17" ht="11.25" customHeight="1" thickBot="1">
      <c r="A15" s="116">
        <v>11</v>
      </c>
      <c r="B15" s="221" t="s">
        <v>249</v>
      </c>
      <c r="C15" s="222">
        <v>471</v>
      </c>
      <c r="D15" s="239"/>
      <c r="E15" s="222">
        <v>50</v>
      </c>
      <c r="F15" s="239"/>
      <c r="G15" s="254">
        <v>340</v>
      </c>
      <c r="H15" s="239">
        <v>340</v>
      </c>
      <c r="I15" s="239"/>
      <c r="J15" s="252">
        <f t="shared" si="0"/>
        <v>384.8039215686274</v>
      </c>
      <c r="M15">
        <v>24</v>
      </c>
      <c r="N15" t="s">
        <v>286</v>
      </c>
    </row>
    <row r="16" spans="1:17" ht="14.25" customHeight="1" thickBot="1">
      <c r="A16" s="116">
        <v>12</v>
      </c>
      <c r="B16" s="221" t="s">
        <v>251</v>
      </c>
      <c r="C16" s="222">
        <v>679.7</v>
      </c>
      <c r="D16" s="239"/>
      <c r="E16" s="222">
        <v>72</v>
      </c>
      <c r="F16" s="239">
        <v>105</v>
      </c>
      <c r="G16" s="254">
        <v>1030</v>
      </c>
      <c r="H16" s="239">
        <v>1030</v>
      </c>
      <c r="I16" s="239"/>
      <c r="J16" s="256">
        <f t="shared" si="0"/>
        <v>183.30636461704421</v>
      </c>
      <c r="K16" s="252"/>
      <c r="M16">
        <f>30*M15</f>
        <v>720</v>
      </c>
    </row>
    <row r="17" spans="1:17" ht="14.25" customHeight="1" thickBot="1">
      <c r="A17" s="116">
        <v>13</v>
      </c>
      <c r="B17" s="221" t="s">
        <v>252</v>
      </c>
      <c r="C17" s="222">
        <v>942</v>
      </c>
      <c r="D17" s="239"/>
      <c r="E17" s="222">
        <v>100</v>
      </c>
      <c r="F17" s="239"/>
      <c r="G17" s="254">
        <v>800</v>
      </c>
      <c r="H17" s="239">
        <v>800</v>
      </c>
      <c r="I17" s="239"/>
      <c r="J17" s="256">
        <f t="shared" si="0"/>
        <v>327.08333333333331</v>
      </c>
      <c r="K17" s="252"/>
      <c r="M17">
        <f>M16*0.7</f>
        <v>503.99999999999994</v>
      </c>
    </row>
    <row r="18" spans="1:17" ht="14.25" customHeight="1" thickBot="1">
      <c r="A18" s="116">
        <v>14</v>
      </c>
      <c r="B18" s="221" t="s">
        <v>253</v>
      </c>
      <c r="C18" s="222">
        <v>1303.5999999999999</v>
      </c>
      <c r="D18" s="239">
        <v>900</v>
      </c>
      <c r="E18" s="222">
        <v>139</v>
      </c>
      <c r="F18" s="239">
        <v>170</v>
      </c>
      <c r="G18" s="254">
        <v>2000</v>
      </c>
      <c r="H18" s="239">
        <v>2000</v>
      </c>
      <c r="I18" s="239"/>
      <c r="J18" s="256">
        <f t="shared" si="0"/>
        <v>181.05555555555551</v>
      </c>
      <c r="K18" s="252"/>
    </row>
    <row r="19" spans="1:17" ht="14.25" customHeight="1" thickBot="1">
      <c r="A19" s="116">
        <v>15</v>
      </c>
      <c r="B19" s="221" t="s">
        <v>254</v>
      </c>
      <c r="C19" s="222">
        <v>710.1</v>
      </c>
      <c r="D19" s="239">
        <v>508</v>
      </c>
      <c r="E19" s="222">
        <v>76</v>
      </c>
      <c r="F19" s="239">
        <v>105</v>
      </c>
      <c r="G19" s="254">
        <v>1000</v>
      </c>
      <c r="H19" s="239">
        <v>1000</v>
      </c>
      <c r="I19" s="239"/>
      <c r="J19" s="256">
        <f t="shared" si="0"/>
        <v>197.25</v>
      </c>
      <c r="K19" s="252"/>
    </row>
    <row r="20" spans="1:17" ht="14.25" customHeight="1" thickBot="1">
      <c r="A20" s="116">
        <v>16</v>
      </c>
      <c r="B20" s="251" t="s">
        <v>292</v>
      </c>
      <c r="C20" s="222">
        <f>13753+2355.1</f>
        <v>16108.1</v>
      </c>
      <c r="D20" s="239">
        <f>5850+650</f>
        <v>6500</v>
      </c>
      <c r="E20" s="222">
        <f>1466+251</f>
        <v>1717</v>
      </c>
      <c r="F20" s="239">
        <v>600</v>
      </c>
      <c r="G20" s="254">
        <f>7100+750</f>
        <v>7850</v>
      </c>
      <c r="H20" s="239">
        <v>7000</v>
      </c>
      <c r="I20" s="239"/>
      <c r="J20" s="256"/>
      <c r="K20" s="252">
        <f>C20/G20/3.6*1000</f>
        <v>569.9964614295825</v>
      </c>
      <c r="L20" s="252"/>
      <c r="M20">
        <v>78000</v>
      </c>
    </row>
    <row r="21" spans="1:17" ht="14.25" customHeight="1" thickBot="1">
      <c r="A21" s="116">
        <v>17</v>
      </c>
      <c r="B21" s="221" t="s">
        <v>261</v>
      </c>
      <c r="C21" s="222">
        <v>2333.3000000000002</v>
      </c>
      <c r="D21" s="239">
        <v>2645</v>
      </c>
      <c r="E21" s="222">
        <v>249</v>
      </c>
      <c r="F21" s="239">
        <v>690</v>
      </c>
      <c r="G21" s="254">
        <v>4720</v>
      </c>
      <c r="H21" s="222">
        <v>4720</v>
      </c>
      <c r="I21" s="222"/>
      <c r="J21" s="256">
        <f>C21/G21/3.6*1000</f>
        <v>137.31756120527308</v>
      </c>
      <c r="K21" s="252"/>
      <c r="M21">
        <f>42*M22</f>
        <v>35.699999999999996</v>
      </c>
    </row>
    <row r="22" spans="1:17" ht="14.25" customHeight="1" thickBot="1">
      <c r="A22" s="116">
        <v>18</v>
      </c>
      <c r="B22" s="251" t="s">
        <v>262</v>
      </c>
      <c r="C22" s="222"/>
      <c r="D22" s="239"/>
      <c r="E22" s="222"/>
      <c r="F22" s="239"/>
      <c r="G22" s="254"/>
      <c r="H22" s="222"/>
      <c r="I22" s="222"/>
      <c r="J22" s="256"/>
      <c r="K22" s="252" t="e">
        <f>C22/G22/3.6*1000</f>
        <v>#DIV/0!</v>
      </c>
      <c r="M22">
        <v>0.85</v>
      </c>
    </row>
    <row r="23" spans="1:17" ht="14.25" customHeight="1" thickBot="1">
      <c r="A23" s="116">
        <v>19</v>
      </c>
      <c r="B23" s="221" t="s">
        <v>263</v>
      </c>
      <c r="C23" s="222">
        <v>706.5</v>
      </c>
      <c r="D23" s="239">
        <f>C23*0.45</f>
        <v>317.92500000000001</v>
      </c>
      <c r="E23" s="222">
        <v>75</v>
      </c>
      <c r="F23" s="239"/>
      <c r="G23" s="254">
        <v>700</v>
      </c>
      <c r="H23" s="239">
        <v>700</v>
      </c>
      <c r="I23" s="239"/>
      <c r="J23" s="256"/>
      <c r="K23" s="252"/>
      <c r="M23">
        <f>M20*M21</f>
        <v>2784599.9999999995</v>
      </c>
    </row>
    <row r="24" spans="1:17" ht="14.25" customHeight="1" thickBot="1">
      <c r="A24" s="116">
        <v>20</v>
      </c>
      <c r="B24" s="221" t="s">
        <v>264</v>
      </c>
      <c r="C24" s="222">
        <v>583.29999999999995</v>
      </c>
      <c r="D24" s="239">
        <f>120*H24*3.6/1000</f>
        <v>1100.3040000000001</v>
      </c>
      <c r="E24" s="222">
        <v>62</v>
      </c>
      <c r="F24" s="239"/>
      <c r="G24" s="254">
        <v>729</v>
      </c>
      <c r="H24" s="239">
        <v>2547</v>
      </c>
      <c r="I24" s="239"/>
      <c r="J24" s="256">
        <f>C24/G24/3.6*1000</f>
        <v>222.26032616979117</v>
      </c>
      <c r="K24" s="252"/>
      <c r="M24">
        <f>M23/1000</f>
        <v>2784.5999999999995</v>
      </c>
    </row>
    <row r="25" spans="1:17" ht="14.25" customHeight="1" thickBot="1">
      <c r="A25" s="116">
        <v>21</v>
      </c>
      <c r="B25" s="221" t="s">
        <v>265</v>
      </c>
      <c r="C25" s="222">
        <v>706.5</v>
      </c>
      <c r="D25" s="239"/>
      <c r="E25" s="222">
        <v>75</v>
      </c>
      <c r="F25" s="239"/>
      <c r="G25" s="254">
        <v>677</v>
      </c>
      <c r="H25" s="222">
        <v>677</v>
      </c>
      <c r="I25" s="222"/>
      <c r="J25" s="256">
        <f>C25/G25/3.6*1000</f>
        <v>289.88183161004434</v>
      </c>
      <c r="K25" s="252"/>
      <c r="M25">
        <f>M24*0.95</f>
        <v>2645.3699999999994</v>
      </c>
      <c r="O25" s="253"/>
      <c r="P25" s="253" t="s">
        <v>281</v>
      </c>
      <c r="Q25" t="s">
        <v>293</v>
      </c>
    </row>
    <row r="26" spans="1:17" ht="14.25" customHeight="1" thickBot="1">
      <c r="A26" s="116">
        <v>22</v>
      </c>
      <c r="B26" s="221" t="s">
        <v>266</v>
      </c>
      <c r="C26" s="222">
        <v>2119</v>
      </c>
      <c r="D26" s="239">
        <f>C26*F26/E26*0.8</f>
        <v>1500.1769911504425</v>
      </c>
      <c r="E26" s="222">
        <v>226</v>
      </c>
      <c r="F26" s="239">
        <v>200</v>
      </c>
      <c r="G26" s="254">
        <v>602</v>
      </c>
      <c r="H26" s="239"/>
      <c r="I26" s="239"/>
      <c r="J26" s="256"/>
      <c r="K26" s="252">
        <f>C26/G26/3.6*1000</f>
        <v>977.75932078257654</v>
      </c>
      <c r="O26" s="253" t="s">
        <v>280</v>
      </c>
      <c r="P26" s="253">
        <v>243</v>
      </c>
      <c r="Q26" s="39">
        <f>P26*0.8</f>
        <v>194.4</v>
      </c>
    </row>
    <row r="27" spans="1:17" ht="14.25" customHeight="1" thickBot="1">
      <c r="A27" s="116">
        <v>23</v>
      </c>
      <c r="B27" s="221" t="s">
        <v>267</v>
      </c>
      <c r="C27" s="222">
        <v>162.30000000000001</v>
      </c>
      <c r="D27" s="239"/>
      <c r="E27" s="222">
        <v>17</v>
      </c>
      <c r="F27" s="239"/>
      <c r="G27" s="254">
        <v>165</v>
      </c>
      <c r="H27" s="239">
        <v>165</v>
      </c>
      <c r="I27" s="239"/>
      <c r="J27" s="256">
        <f>C27/G27/3.6*1000</f>
        <v>273.23232323232327</v>
      </c>
      <c r="K27" s="252"/>
      <c r="P27" s="91">
        <f>K29</f>
        <v>269.51669588747194</v>
      </c>
    </row>
    <row r="28" spans="1:17" ht="14.25" customHeight="1">
      <c r="A28" s="221"/>
      <c r="B28" s="221"/>
      <c r="C28" s="228">
        <f>SUM(C5:C27)</f>
        <v>33665.600000000006</v>
      </c>
      <c r="D28" s="242"/>
      <c r="F28" s="243"/>
      <c r="G28" s="255">
        <f>SUM(G5:G27)</f>
        <v>27758</v>
      </c>
      <c r="H28" s="239"/>
      <c r="I28" s="239"/>
      <c r="J28" s="257">
        <f>C28/G28/3.6*1000</f>
        <v>336.89586985933988</v>
      </c>
      <c r="K28" s="252" t="s">
        <v>269</v>
      </c>
      <c r="M28" t="s">
        <v>270</v>
      </c>
      <c r="N28" s="39"/>
      <c r="O28" s="39">
        <v>270</v>
      </c>
      <c r="P28">
        <f>O28*0.8</f>
        <v>216</v>
      </c>
    </row>
    <row r="29" spans="1:17" ht="15.75">
      <c r="A29" s="1213">
        <v>3</v>
      </c>
      <c r="B29" s="1213" t="s">
        <v>279</v>
      </c>
      <c r="C29" s="229">
        <f>C28*0.8</f>
        <v>26932.480000000007</v>
      </c>
      <c r="D29" s="223"/>
      <c r="E29" s="1214"/>
      <c r="F29" s="224"/>
      <c r="G29" s="1215">
        <v>7100</v>
      </c>
      <c r="H29" s="237"/>
      <c r="I29" s="237"/>
      <c r="J29" s="252" t="s">
        <v>271</v>
      </c>
      <c r="K29" s="258">
        <f>C29/G28/3.6*1000</f>
        <v>269.51669588747194</v>
      </c>
      <c r="M29" s="217" t="s">
        <v>275</v>
      </c>
      <c r="N29" s="217">
        <f>O28*0.8</f>
        <v>216</v>
      </c>
      <c r="O29" t="s">
        <v>272</v>
      </c>
    </row>
    <row r="30" spans="1:17" ht="15.75">
      <c r="A30" s="1213"/>
      <c r="B30" s="1213"/>
      <c r="C30" s="224"/>
      <c r="D30" s="224"/>
      <c r="E30" s="1214"/>
      <c r="F30" s="224"/>
      <c r="G30" s="1215"/>
      <c r="H30" s="237"/>
      <c r="I30" s="237"/>
      <c r="J30" s="252"/>
      <c r="K30" s="252"/>
    </row>
    <row r="31" spans="1:17" ht="15.75">
      <c r="A31" s="1211">
        <v>4</v>
      </c>
      <c r="B31" s="1211" t="s">
        <v>169</v>
      </c>
      <c r="C31" s="128"/>
      <c r="D31" s="128"/>
      <c r="E31" s="128" t="s">
        <v>170</v>
      </c>
      <c r="F31" s="128"/>
      <c r="G31" s="1211">
        <v>1030</v>
      </c>
      <c r="H31" s="244"/>
      <c r="I31" s="244"/>
    </row>
    <row r="32" spans="1:17" ht="16.5" thickBot="1">
      <c r="A32" s="1200"/>
      <c r="B32" s="1200"/>
      <c r="C32" s="116"/>
      <c r="D32" s="116"/>
      <c r="E32" s="116" t="s">
        <v>171</v>
      </c>
      <c r="F32" s="116"/>
      <c r="G32" s="1200"/>
      <c r="H32" s="244"/>
      <c r="I32" s="244"/>
    </row>
    <row r="33" spans="1:9" ht="48" customHeight="1" thickBot="1">
      <c r="A33" s="116">
        <v>5</v>
      </c>
      <c r="B33" s="116" t="s">
        <v>172</v>
      </c>
      <c r="C33" s="116"/>
      <c r="D33" s="116"/>
      <c r="E33" s="116">
        <v>154</v>
      </c>
      <c r="F33" s="116"/>
      <c r="G33" s="116">
        <v>1000</v>
      </c>
      <c r="H33" s="244"/>
      <c r="I33" s="244"/>
    </row>
    <row r="34" spans="1:9" ht="32.25" customHeight="1" thickBot="1">
      <c r="A34" s="116">
        <v>6</v>
      </c>
      <c r="B34" s="116" t="s">
        <v>173</v>
      </c>
      <c r="C34" s="116"/>
      <c r="D34" s="116"/>
      <c r="E34" s="130">
        <v>25204</v>
      </c>
      <c r="F34" s="130"/>
      <c r="G34" s="116">
        <v>1000</v>
      </c>
      <c r="H34" s="244"/>
      <c r="I34" s="244"/>
    </row>
    <row r="35" spans="1:9" ht="48" customHeight="1" thickBot="1">
      <c r="A35" s="116">
        <v>7</v>
      </c>
      <c r="B35" s="116" t="s">
        <v>174</v>
      </c>
      <c r="C35" s="116"/>
      <c r="D35" s="116"/>
      <c r="E35" s="116">
        <v>289</v>
      </c>
      <c r="F35" s="116"/>
      <c r="G35" s="116">
        <v>640</v>
      </c>
      <c r="H35" s="244"/>
      <c r="I35" s="244"/>
    </row>
    <row r="36" spans="1:9" ht="32.25" customHeight="1" thickBot="1">
      <c r="A36" s="116">
        <v>8</v>
      </c>
      <c r="B36" s="116" t="s">
        <v>175</v>
      </c>
      <c r="C36" s="116"/>
      <c r="D36" s="116"/>
      <c r="E36" s="116" t="s">
        <v>176</v>
      </c>
      <c r="F36" s="116"/>
      <c r="G36" s="116">
        <v>950</v>
      </c>
      <c r="H36" s="244"/>
      <c r="I36" s="244"/>
    </row>
    <row r="37" spans="1:9" ht="79.5" customHeight="1" thickBot="1">
      <c r="A37" s="116">
        <v>9</v>
      </c>
      <c r="B37" s="116" t="s">
        <v>177</v>
      </c>
      <c r="C37" s="116"/>
      <c r="D37" s="116"/>
      <c r="E37" s="116" t="s">
        <v>178</v>
      </c>
      <c r="F37" s="116"/>
      <c r="G37" s="135">
        <v>950</v>
      </c>
      <c r="H37" s="245"/>
      <c r="I37" s="245"/>
    </row>
    <row r="38" spans="1:9" ht="32.25" customHeight="1" thickBot="1">
      <c r="A38" s="116">
        <v>10</v>
      </c>
      <c r="B38" s="116" t="s">
        <v>179</v>
      </c>
      <c r="C38" s="116"/>
      <c r="D38" s="116"/>
      <c r="E38" s="116" t="s">
        <v>136</v>
      </c>
      <c r="F38" s="116"/>
      <c r="G38" s="116">
        <v>2000</v>
      </c>
      <c r="H38" s="244"/>
      <c r="I38" s="244"/>
    </row>
    <row r="39" spans="1:9" ht="63.75" customHeight="1" thickBot="1">
      <c r="A39" s="116">
        <v>11</v>
      </c>
      <c r="B39" s="116" t="s">
        <v>180</v>
      </c>
      <c r="C39" s="116"/>
      <c r="D39" s="116"/>
      <c r="E39" s="116" t="s">
        <v>181</v>
      </c>
      <c r="F39" s="116"/>
      <c r="G39" s="135">
        <v>4720</v>
      </c>
      <c r="H39" s="245"/>
      <c r="I39" s="245"/>
    </row>
    <row r="40" spans="1:9" ht="32.25" customHeight="1" thickBot="1">
      <c r="A40" s="116">
        <v>12</v>
      </c>
      <c r="B40" s="116" t="s">
        <v>182</v>
      </c>
      <c r="C40" s="116"/>
      <c r="D40" s="116"/>
      <c r="E40" s="130">
        <v>15067</v>
      </c>
      <c r="F40" s="130"/>
      <c r="G40" s="124">
        <v>800</v>
      </c>
      <c r="H40" s="246"/>
      <c r="I40" s="246"/>
    </row>
  </sheetData>
  <mergeCells count="11">
    <mergeCell ref="G29:G30"/>
    <mergeCell ref="A31:A32"/>
    <mergeCell ref="B31:B32"/>
    <mergeCell ref="G31:G32"/>
    <mergeCell ref="E29:E30"/>
    <mergeCell ref="A3:A4"/>
    <mergeCell ref="B3:B4"/>
    <mergeCell ref="E3:E4"/>
    <mergeCell ref="A29:A30"/>
    <mergeCell ref="B29:B30"/>
    <mergeCell ref="C3:C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1020"/>
  <sheetViews>
    <sheetView topLeftCell="I1" zoomScale="85" zoomScaleNormal="85" workbookViewId="0">
      <selection activeCell="S2" sqref="S2"/>
    </sheetView>
  </sheetViews>
  <sheetFormatPr defaultRowHeight="12.75"/>
  <cols>
    <col min="1" max="1" width="18.140625" customWidth="1"/>
    <col min="2" max="2" width="16" bestFit="1" customWidth="1"/>
    <col min="3" max="3" width="16.7109375" customWidth="1"/>
    <col min="4" max="4" width="14.28515625" customWidth="1"/>
    <col min="5" max="8" width="13.140625" customWidth="1"/>
    <col min="9" max="9" width="12.42578125" bestFit="1" customWidth="1"/>
    <col min="10" max="10" width="11" customWidth="1"/>
    <col min="11" max="11" width="8.7109375" customWidth="1"/>
    <col min="12" max="12" width="6.85546875" customWidth="1"/>
    <col min="13" max="13" width="12" bestFit="1" customWidth="1"/>
    <col min="14" max="14" width="15.5703125" customWidth="1"/>
    <col min="15" max="15" width="15.5703125" bestFit="1" customWidth="1"/>
    <col min="16" max="16" width="14.28515625" bestFit="1" customWidth="1"/>
    <col min="17" max="17" width="14.28515625" customWidth="1"/>
    <col min="18" max="18" width="14.5703125" customWidth="1"/>
    <col min="19" max="20" width="12.28515625" bestFit="1" customWidth="1"/>
    <col min="21" max="21" width="9.7109375" bestFit="1" customWidth="1"/>
  </cols>
  <sheetData>
    <row r="1" spans="1:27" ht="15">
      <c r="B1" s="65" t="s">
        <v>383</v>
      </c>
      <c r="C1" s="155" t="e">
        <f>BILANS!#REF!</f>
        <v>#REF!</v>
      </c>
      <c r="D1" s="65" t="s">
        <v>299</v>
      </c>
      <c r="E1" s="65" t="s">
        <v>400</v>
      </c>
      <c r="F1" s="178"/>
      <c r="G1" s="178"/>
      <c r="H1" s="178"/>
      <c r="I1" s="178"/>
      <c r="J1" s="178"/>
      <c r="K1" s="178"/>
      <c r="L1" s="178"/>
      <c r="M1" s="79"/>
      <c r="N1" s="178"/>
      <c r="O1" s="178"/>
      <c r="P1" s="178"/>
      <c r="Q1" s="415"/>
      <c r="R1" s="415"/>
      <c r="S1" s="415"/>
      <c r="T1" s="178"/>
      <c r="U1" s="178"/>
      <c r="V1" s="178"/>
      <c r="W1" s="178"/>
      <c r="X1" s="178"/>
    </row>
    <row r="2" spans="1:27" ht="15">
      <c r="A2" s="320" t="s">
        <v>331</v>
      </c>
      <c r="B2" s="398" t="e">
        <f>C2/C1</f>
        <v>#REF!</v>
      </c>
      <c r="C2" s="337">
        <f>B57</f>
        <v>320640</v>
      </c>
      <c r="D2" s="420">
        <f>B55</f>
        <v>8016000</v>
      </c>
      <c r="E2" s="430" t="s">
        <v>339</v>
      </c>
      <c r="F2" s="425">
        <v>9.4403465469207592E-3</v>
      </c>
      <c r="G2" s="425">
        <v>38</v>
      </c>
      <c r="H2" s="426">
        <f>G2/$G$10</f>
        <v>0.18095238095238095</v>
      </c>
      <c r="I2" s="178"/>
      <c r="J2" s="403">
        <f>1500/210</f>
        <v>7.1428571428571432</v>
      </c>
      <c r="K2" s="178"/>
      <c r="L2" s="104"/>
      <c r="M2" s="79"/>
      <c r="N2" s="178"/>
      <c r="O2" s="178"/>
      <c r="P2" s="416"/>
      <c r="Q2" s="416"/>
      <c r="R2" s="416"/>
      <c r="S2" s="416"/>
      <c r="T2" s="416"/>
      <c r="U2" s="416"/>
      <c r="V2" s="416"/>
      <c r="W2" s="178"/>
      <c r="X2" s="178"/>
    </row>
    <row r="3" spans="1:27" ht="15">
      <c r="A3" s="320" t="s">
        <v>334</v>
      </c>
      <c r="B3" s="394">
        <v>0.01</v>
      </c>
      <c r="C3" s="395" t="e">
        <f>B3*$C$1</f>
        <v>#REF!</v>
      </c>
      <c r="D3" s="421" t="s">
        <v>58</v>
      </c>
      <c r="E3" s="422" t="s">
        <v>58</v>
      </c>
      <c r="F3" s="428">
        <v>0.01</v>
      </c>
      <c r="G3" s="428">
        <v>2</v>
      </c>
      <c r="H3" s="426">
        <f t="shared" ref="H3:H10" si="0">G3/$G$10</f>
        <v>9.5238095238095247E-3</v>
      </c>
      <c r="I3" s="178"/>
      <c r="J3" s="178"/>
      <c r="K3" s="178"/>
      <c r="L3" s="178"/>
      <c r="M3" s="79"/>
      <c r="N3" s="304"/>
      <c r="O3" s="178"/>
      <c r="P3" s="417"/>
      <c r="Q3" s="417"/>
      <c r="R3" s="417"/>
      <c r="S3" s="417"/>
      <c r="T3" s="417"/>
      <c r="U3" s="417"/>
      <c r="V3" s="417"/>
      <c r="W3" s="178"/>
      <c r="X3" s="178"/>
    </row>
    <row r="4" spans="1:27" ht="15">
      <c r="A4" s="424" t="s">
        <v>335</v>
      </c>
      <c r="B4" s="398">
        <v>0.02</v>
      </c>
      <c r="C4" s="337" t="e">
        <f>B4*C1</f>
        <v>#REF!</v>
      </c>
      <c r="D4" s="420">
        <f>B82</f>
        <v>473.68421052631584</v>
      </c>
      <c r="E4" s="332" t="s">
        <v>336</v>
      </c>
      <c r="F4" s="338">
        <v>2.1220443472244142E-3</v>
      </c>
      <c r="G4" s="338"/>
      <c r="H4" s="426">
        <f t="shared" si="0"/>
        <v>0</v>
      </c>
      <c r="I4" s="178"/>
      <c r="J4" s="178"/>
      <c r="K4" s="178"/>
      <c r="L4" s="178"/>
      <c r="M4" s="79"/>
      <c r="N4" s="178"/>
      <c r="O4" s="178"/>
      <c r="P4" s="417"/>
      <c r="Q4" s="417"/>
      <c r="R4" s="417"/>
      <c r="S4" s="417"/>
      <c r="T4" s="417"/>
      <c r="U4" s="417"/>
      <c r="V4" s="417"/>
      <c r="W4" s="178"/>
      <c r="X4" s="178"/>
    </row>
    <row r="5" spans="1:27" ht="15">
      <c r="A5" s="424" t="s">
        <v>337</v>
      </c>
      <c r="B5" s="394">
        <v>0.01</v>
      </c>
      <c r="C5" s="355" t="e">
        <f>B5*C1</f>
        <v>#REF!</v>
      </c>
      <c r="D5" s="420" t="e">
        <f>C5/B96</f>
        <v>#REF!</v>
      </c>
      <c r="E5" s="422" t="s">
        <v>336</v>
      </c>
      <c r="F5" s="428">
        <v>0.01</v>
      </c>
      <c r="G5" s="428"/>
      <c r="H5" s="426">
        <f t="shared" si="0"/>
        <v>0</v>
      </c>
      <c r="I5" s="178"/>
      <c r="J5" s="178"/>
      <c r="K5" s="178"/>
      <c r="L5" s="178"/>
      <c r="M5" s="79"/>
      <c r="N5" s="178"/>
      <c r="O5" s="178"/>
      <c r="P5" s="417"/>
      <c r="Q5" s="417"/>
      <c r="R5" s="417"/>
      <c r="S5" s="417"/>
      <c r="T5" s="417"/>
      <c r="U5" s="417"/>
      <c r="V5" s="417"/>
      <c r="W5" s="178"/>
      <c r="X5" s="178"/>
    </row>
    <row r="6" spans="1:27" ht="30">
      <c r="A6" s="320" t="s">
        <v>338</v>
      </c>
      <c r="B6" s="394">
        <v>0.01</v>
      </c>
      <c r="C6" s="406" t="e">
        <f>B6*$C$1</f>
        <v>#REF!</v>
      </c>
      <c r="D6" s="420" t="e">
        <f>B68</f>
        <v>#REF!</v>
      </c>
      <c r="E6" s="422" t="s">
        <v>336</v>
      </c>
      <c r="F6" s="338">
        <v>5.0000000000000001E-3</v>
      </c>
      <c r="G6" s="338">
        <v>3</v>
      </c>
      <c r="H6" s="426">
        <f t="shared" si="0"/>
        <v>1.4285714285714285E-2</v>
      </c>
      <c r="I6" s="427" t="s">
        <v>444</v>
      </c>
      <c r="J6" s="298"/>
      <c r="K6" s="178"/>
      <c r="L6" s="404"/>
      <c r="M6" s="79"/>
      <c r="N6" s="418"/>
      <c r="O6" s="419"/>
      <c r="P6" s="417"/>
      <c r="Q6" s="417"/>
      <c r="R6" s="417"/>
      <c r="S6" s="417"/>
      <c r="T6" s="417"/>
      <c r="U6" s="417"/>
      <c r="V6" s="417"/>
      <c r="W6" s="178"/>
      <c r="X6" s="178"/>
    </row>
    <row r="7" spans="1:27" ht="15">
      <c r="A7" s="333" t="s">
        <v>437</v>
      </c>
      <c r="B7" s="354" t="e">
        <f>C7/C1</f>
        <v>#REF!</v>
      </c>
      <c r="C7" s="355">
        <f>N56</f>
        <v>1580932.6400000001</v>
      </c>
      <c r="D7" s="420">
        <f>M57</f>
        <v>70672</v>
      </c>
      <c r="E7" s="332"/>
      <c r="F7" s="338"/>
      <c r="G7" s="338">
        <f>92+34+12</f>
        <v>138</v>
      </c>
      <c r="H7" s="426">
        <f t="shared" si="0"/>
        <v>0.65714285714285714</v>
      </c>
      <c r="I7" s="455">
        <v>3340</v>
      </c>
      <c r="J7" s="464">
        <f>I7*1600</f>
        <v>5344000</v>
      </c>
      <c r="K7" s="178"/>
      <c r="L7" s="294"/>
      <c r="M7" s="79"/>
      <c r="N7" s="418"/>
      <c r="O7" s="419"/>
      <c r="P7" s="178"/>
      <c r="Q7" s="178"/>
      <c r="R7" s="178"/>
      <c r="S7" s="178"/>
      <c r="T7" s="178"/>
      <c r="U7" s="178"/>
      <c r="V7" s="178"/>
      <c r="W7" s="178"/>
      <c r="X7" s="178"/>
    </row>
    <row r="8" spans="1:27" ht="15.75" thickBot="1">
      <c r="A8" s="333" t="s">
        <v>438</v>
      </c>
      <c r="B8" s="354" t="e">
        <f>C8/C1</f>
        <v>#REF!</v>
      </c>
      <c r="C8" s="355">
        <f>1%*C7</f>
        <v>15809.326400000002</v>
      </c>
      <c r="D8" s="420">
        <f>C8*D2/C2</f>
        <v>395233.16000000003</v>
      </c>
      <c r="E8" s="332"/>
      <c r="F8" s="338"/>
      <c r="G8" s="338"/>
      <c r="H8" s="426">
        <f t="shared" si="0"/>
        <v>0</v>
      </c>
      <c r="I8" s="298"/>
      <c r="J8" s="178"/>
      <c r="K8" s="178"/>
      <c r="L8" s="294"/>
      <c r="M8" s="79"/>
      <c r="N8" s="418"/>
      <c r="O8" s="419"/>
      <c r="P8" s="178"/>
      <c r="Q8" s="178"/>
      <c r="R8" s="178"/>
      <c r="S8" s="178"/>
      <c r="T8" s="178"/>
      <c r="U8" s="178"/>
      <c r="V8" s="178"/>
      <c r="W8" s="178"/>
      <c r="X8" s="178"/>
    </row>
    <row r="9" spans="1:27" ht="39.75" thickTop="1" thickBot="1">
      <c r="A9" s="320" t="s">
        <v>340</v>
      </c>
      <c r="B9" s="393" t="e">
        <f>100%-B2-B3-B4-B5-B6-B10-B7-B8</f>
        <v>#REF!</v>
      </c>
      <c r="C9" s="337" t="e">
        <f>C1*B9</f>
        <v>#REF!</v>
      </c>
      <c r="D9" s="420" t="e">
        <f>B44</f>
        <v>#REF!</v>
      </c>
      <c r="E9" s="422" t="s">
        <v>336</v>
      </c>
      <c r="F9" s="429">
        <v>0.94343760910585484</v>
      </c>
      <c r="G9" s="429">
        <v>29</v>
      </c>
      <c r="H9" s="426">
        <f t="shared" si="0"/>
        <v>0.1380952380952381</v>
      </c>
      <c r="I9" s="178"/>
      <c r="J9" s="456" t="s">
        <v>25</v>
      </c>
      <c r="K9" s="457" t="s">
        <v>445</v>
      </c>
      <c r="L9" s="457" t="s">
        <v>446</v>
      </c>
      <c r="M9" s="457" t="s">
        <v>447</v>
      </c>
      <c r="N9" s="457" t="s">
        <v>448</v>
      </c>
      <c r="O9" s="457" t="s">
        <v>449</v>
      </c>
      <c r="P9" s="457" t="s">
        <v>450</v>
      </c>
      <c r="Q9" s="458" t="s">
        <v>451</v>
      </c>
      <c r="R9" s="178"/>
      <c r="S9" s="178"/>
      <c r="T9" s="178"/>
      <c r="U9" s="178"/>
      <c r="V9" s="178"/>
      <c r="W9" s="178"/>
      <c r="X9" s="178"/>
    </row>
    <row r="10" spans="1:27" ht="15.75" thickBot="1">
      <c r="A10" s="320" t="s">
        <v>341</v>
      </c>
      <c r="B10" s="354">
        <v>0.02</v>
      </c>
      <c r="C10" s="355" t="e">
        <f>B10*$C$1</f>
        <v>#REF!</v>
      </c>
      <c r="D10" s="407"/>
      <c r="E10" s="332"/>
      <c r="F10" s="338">
        <v>0.02</v>
      </c>
      <c r="G10" s="338">
        <f>SUM(G2:G9)</f>
        <v>210</v>
      </c>
      <c r="H10" s="426">
        <f t="shared" si="0"/>
        <v>1</v>
      </c>
      <c r="I10" s="178"/>
      <c r="J10" s="459">
        <v>2008</v>
      </c>
      <c r="K10" s="439">
        <v>30417.599999999999</v>
      </c>
      <c r="L10" s="439">
        <v>9745.5</v>
      </c>
      <c r="M10" s="439">
        <v>3729.5</v>
      </c>
      <c r="N10" s="439">
        <v>17905.099999999999</v>
      </c>
      <c r="O10" s="439">
        <v>1540.5</v>
      </c>
      <c r="P10" s="439">
        <v>633.6</v>
      </c>
      <c r="Q10" s="460">
        <v>592.9</v>
      </c>
      <c r="R10" s="178"/>
      <c r="S10" s="178"/>
      <c r="T10" s="178"/>
      <c r="U10" s="178"/>
      <c r="V10" s="178"/>
      <c r="W10" s="178"/>
      <c r="X10" s="178"/>
    </row>
    <row r="11" spans="1:27" ht="13.5" thickBot="1">
      <c r="A11" s="79"/>
      <c r="B11" s="310" t="e">
        <f>SUM(B2:B10)</f>
        <v>#REF!</v>
      </c>
      <c r="C11" s="155"/>
      <c r="E11" s="338"/>
      <c r="F11" s="338"/>
      <c r="G11" s="338"/>
      <c r="H11" s="338"/>
      <c r="I11" s="178"/>
      <c r="J11" s="459">
        <v>2009</v>
      </c>
      <c r="K11" s="439">
        <v>28794</v>
      </c>
      <c r="L11" s="439">
        <v>9485.2000000000007</v>
      </c>
      <c r="M11" s="439">
        <v>3454.4</v>
      </c>
      <c r="N11" s="439">
        <v>16319.3</v>
      </c>
      <c r="O11" s="439">
        <v>1800.4</v>
      </c>
      <c r="P11" s="439">
        <v>515.79999999999995</v>
      </c>
      <c r="Q11" s="460">
        <v>673.3</v>
      </c>
      <c r="R11" s="294"/>
      <c r="S11" s="178"/>
      <c r="T11" s="178"/>
      <c r="U11" s="178"/>
      <c r="V11" s="178"/>
      <c r="W11" s="178"/>
      <c r="X11" s="178"/>
      <c r="Y11" s="178"/>
      <c r="Z11" s="178"/>
      <c r="AA11" s="178"/>
    </row>
    <row r="12" spans="1:27" ht="13.5" thickBot="1">
      <c r="A12" s="79"/>
      <c r="B12" s="310"/>
      <c r="C12" s="155"/>
      <c r="E12" s="338"/>
      <c r="F12" s="338"/>
      <c r="G12" s="338"/>
      <c r="H12" s="338"/>
      <c r="I12" s="178"/>
      <c r="J12" s="459">
        <v>2010</v>
      </c>
      <c r="K12" s="439">
        <v>30093.1</v>
      </c>
      <c r="L12" s="439">
        <v>9893.5</v>
      </c>
      <c r="M12" s="439">
        <v>3961.2</v>
      </c>
      <c r="N12" s="439">
        <v>17285.400000000001</v>
      </c>
      <c r="O12" s="439">
        <v>1992.6</v>
      </c>
      <c r="P12" s="439">
        <v>678.1</v>
      </c>
      <c r="Q12" s="460">
        <v>243.5</v>
      </c>
      <c r="R12" s="294"/>
      <c r="S12" s="178"/>
      <c r="T12" s="178"/>
      <c r="U12" s="178"/>
      <c r="V12" s="178"/>
      <c r="W12" s="178"/>
      <c r="X12" s="178"/>
      <c r="Y12" s="178"/>
      <c r="Z12" s="178"/>
      <c r="AA12" s="178"/>
    </row>
    <row r="13" spans="1:27" ht="13.5" thickBot="1">
      <c r="A13" s="351" t="s">
        <v>435</v>
      </c>
      <c r="E13" s="338"/>
      <c r="F13" s="338"/>
      <c r="G13" s="451" t="s">
        <v>439</v>
      </c>
      <c r="H13" s="338"/>
      <c r="I13" s="178"/>
      <c r="J13" s="459">
        <v>2011</v>
      </c>
      <c r="K13" s="439">
        <v>31870.400000000001</v>
      </c>
      <c r="L13" s="439">
        <v>9816.5</v>
      </c>
      <c r="M13" s="439">
        <v>4203.8999999999996</v>
      </c>
      <c r="N13" s="439">
        <v>19100</v>
      </c>
      <c r="O13" s="439">
        <v>1965.2</v>
      </c>
      <c r="P13" s="439">
        <v>860.9</v>
      </c>
      <c r="Q13" s="460">
        <v>127.8</v>
      </c>
      <c r="R13" s="294"/>
      <c r="S13" s="178"/>
      <c r="T13" s="178"/>
      <c r="U13" s="178"/>
      <c r="V13" s="178"/>
      <c r="W13" s="178"/>
      <c r="X13" s="178"/>
      <c r="Y13" s="178"/>
      <c r="Z13" s="178"/>
      <c r="AA13" s="178"/>
    </row>
    <row r="14" spans="1:27" ht="13.5" thickBot="1">
      <c r="A14" s="330" t="s">
        <v>391</v>
      </c>
      <c r="B14" s="331">
        <v>0.65</v>
      </c>
      <c r="C14" s="178"/>
      <c r="E14" s="338"/>
      <c r="F14" s="338"/>
      <c r="G14" s="338">
        <f>3*37.5+2*20</f>
        <v>152.5</v>
      </c>
      <c r="H14" s="451" t="s">
        <v>29</v>
      </c>
      <c r="I14" s="178"/>
      <c r="J14" s="461">
        <v>2012</v>
      </c>
      <c r="K14" s="440">
        <v>43103</v>
      </c>
      <c r="L14" s="440">
        <v>9456.7999999999993</v>
      </c>
      <c r="M14" s="440">
        <v>4141.1000000000004</v>
      </c>
      <c r="N14" s="440">
        <v>30479.200000000001</v>
      </c>
      <c r="O14" s="440">
        <v>2165.9</v>
      </c>
      <c r="P14" s="440">
        <v>912.4</v>
      </c>
      <c r="Q14" s="462">
        <v>88.7</v>
      </c>
      <c r="R14" s="294"/>
      <c r="S14" s="178"/>
      <c r="T14" s="178"/>
      <c r="U14" s="178"/>
      <c r="V14" s="178"/>
      <c r="W14" s="178"/>
      <c r="X14" s="178"/>
      <c r="Y14" s="178"/>
      <c r="Z14" s="178"/>
      <c r="AA14" s="178"/>
    </row>
    <row r="15" spans="1:27" ht="15.75" thickTop="1">
      <c r="A15" s="330" t="s">
        <v>386</v>
      </c>
      <c r="B15" s="331">
        <v>22.37</v>
      </c>
      <c r="C15" s="65" t="s">
        <v>392</v>
      </c>
      <c r="E15" s="338"/>
      <c r="F15" s="338"/>
      <c r="G15" s="451" t="s">
        <v>440</v>
      </c>
      <c r="H15" s="338"/>
      <c r="I15" s="178"/>
      <c r="J15" s="405"/>
      <c r="K15" s="405"/>
      <c r="L15" s="405"/>
      <c r="M15" s="409"/>
      <c r="N15" s="178"/>
      <c r="O15" s="178"/>
      <c r="P15" s="178"/>
      <c r="Q15" s="178"/>
      <c r="R15" s="294"/>
      <c r="S15" s="178"/>
      <c r="T15" s="178"/>
      <c r="U15" s="178"/>
      <c r="V15" s="178"/>
      <c r="W15" s="178"/>
      <c r="X15" s="178"/>
      <c r="Y15" s="178"/>
      <c r="Z15" s="178"/>
      <c r="AA15" s="178"/>
    </row>
    <row r="16" spans="1:27" ht="15">
      <c r="A16" s="396" t="s">
        <v>385</v>
      </c>
      <c r="B16" s="397">
        <f>D7</f>
        <v>70672</v>
      </c>
      <c r="C16" s="178"/>
      <c r="E16" s="338"/>
      <c r="F16" s="338"/>
      <c r="G16" s="338">
        <v>3.7</v>
      </c>
      <c r="H16" s="451" t="s">
        <v>29</v>
      </c>
      <c r="I16" s="178"/>
      <c r="J16" s="405"/>
      <c r="K16" s="405"/>
      <c r="L16" s="405"/>
      <c r="M16" s="409"/>
      <c r="N16" s="178"/>
      <c r="O16" s="178"/>
      <c r="P16" s="178"/>
      <c r="Q16" s="178"/>
      <c r="R16" s="294"/>
      <c r="S16" s="178"/>
      <c r="T16" s="178"/>
      <c r="U16" s="178"/>
      <c r="V16" s="178"/>
      <c r="W16" s="178"/>
      <c r="X16" s="178"/>
      <c r="Y16" s="178"/>
      <c r="Z16" s="178"/>
      <c r="AA16" s="178"/>
    </row>
    <row r="17" spans="1:27" ht="15">
      <c r="A17" s="329" t="s">
        <v>388</v>
      </c>
      <c r="B17" s="448">
        <v>0.51</v>
      </c>
      <c r="C17" s="178"/>
      <c r="E17" s="338"/>
      <c r="F17" s="338"/>
      <c r="G17" s="338">
        <v>3.5</v>
      </c>
      <c r="H17" s="451" t="s">
        <v>29</v>
      </c>
      <c r="I17" s="178"/>
      <c r="J17" s="405"/>
      <c r="K17" s="405"/>
      <c r="L17" s="405"/>
      <c r="M17" s="463">
        <f>M14*0.7+O14*0.7+P14*0.7+0.3*N14</f>
        <v>14197.34</v>
      </c>
      <c r="N17" s="442">
        <f>M17*1000</f>
        <v>14197340</v>
      </c>
      <c r="O17" s="178"/>
      <c r="P17" s="178"/>
      <c r="Q17" s="178"/>
      <c r="R17" s="294"/>
      <c r="S17" s="178"/>
      <c r="T17" s="178"/>
      <c r="U17" s="178"/>
      <c r="V17" s="178"/>
      <c r="W17" s="178"/>
      <c r="X17" s="178"/>
      <c r="Y17" s="178"/>
      <c r="Z17" s="178"/>
      <c r="AA17" s="178"/>
    </row>
    <row r="18" spans="1:27" ht="15">
      <c r="A18" s="399" t="s">
        <v>387</v>
      </c>
      <c r="B18" s="400">
        <v>19.43</v>
      </c>
      <c r="C18" s="178"/>
      <c r="E18" s="338"/>
      <c r="F18" s="338"/>
      <c r="G18" s="338">
        <f>G16+G17</f>
        <v>7.2</v>
      </c>
      <c r="H18" s="453">
        <f>G18/G14</f>
        <v>4.7213114754098361E-2</v>
      </c>
      <c r="I18" s="178"/>
      <c r="J18" s="405"/>
      <c r="K18" s="405"/>
      <c r="L18" s="405"/>
      <c r="M18" s="409"/>
      <c r="N18" s="178"/>
      <c r="O18" s="178"/>
      <c r="P18" s="178"/>
      <c r="Q18" s="178"/>
      <c r="R18" s="294"/>
      <c r="S18" s="178"/>
      <c r="T18" s="178"/>
      <c r="U18" s="178"/>
      <c r="V18" s="178"/>
      <c r="W18" s="178"/>
      <c r="X18" s="178"/>
      <c r="Y18" s="178"/>
      <c r="Z18" s="178"/>
      <c r="AA18" s="178"/>
    </row>
    <row r="19" spans="1:27" ht="15">
      <c r="A19" s="333"/>
      <c r="B19" s="328" t="s">
        <v>389</v>
      </c>
      <c r="C19" s="396" t="s">
        <v>390</v>
      </c>
      <c r="E19" s="338"/>
      <c r="F19" s="338"/>
      <c r="G19" s="338"/>
      <c r="H19" s="338"/>
      <c r="I19" s="178"/>
      <c r="J19" s="405"/>
      <c r="K19" s="405"/>
      <c r="L19" s="405"/>
      <c r="M19" s="409"/>
      <c r="N19" s="178"/>
      <c r="O19" s="178"/>
      <c r="P19" s="178"/>
      <c r="Q19" s="178"/>
      <c r="R19" s="294"/>
      <c r="S19" s="178"/>
      <c r="T19" s="178"/>
      <c r="U19" s="178"/>
      <c r="V19" s="178"/>
      <c r="W19" s="178"/>
      <c r="X19" s="178"/>
      <c r="Y19" s="178"/>
      <c r="Z19" s="178"/>
      <c r="AA19" s="178"/>
    </row>
    <row r="20" spans="1:27" ht="15">
      <c r="A20" s="331" t="s">
        <v>349</v>
      </c>
      <c r="B20" s="452">
        <f>17000*B17/1000</f>
        <v>8.67</v>
      </c>
      <c r="C20" s="450">
        <f>B20*B$16/1000</f>
        <v>612.72623999999996</v>
      </c>
      <c r="E20" s="338"/>
      <c r="F20" s="338"/>
      <c r="G20" s="451" t="s">
        <v>278</v>
      </c>
      <c r="H20" s="338"/>
      <c r="I20" s="178"/>
      <c r="J20" s="405"/>
      <c r="K20" s="405"/>
      <c r="L20" s="405"/>
      <c r="M20" s="409"/>
      <c r="N20" s="178"/>
      <c r="O20" s="178"/>
      <c r="P20" s="178"/>
      <c r="Q20" s="178"/>
      <c r="R20" s="294"/>
      <c r="S20" s="178"/>
      <c r="T20" s="178"/>
      <c r="U20" s="178"/>
      <c r="V20" s="178"/>
      <c r="W20" s="178"/>
      <c r="X20" s="178"/>
      <c r="Y20" s="178"/>
      <c r="Z20" s="178"/>
      <c r="AA20" s="178"/>
    </row>
    <row r="21" spans="1:27" ht="15">
      <c r="A21" s="331" t="s">
        <v>350</v>
      </c>
      <c r="B21" s="452">
        <f>2200/1000</f>
        <v>2.2000000000000002</v>
      </c>
      <c r="C21" s="450">
        <f>B21*B$16/1000</f>
        <v>155.47840000000002</v>
      </c>
      <c r="E21" s="338"/>
      <c r="F21" s="338"/>
      <c r="G21" s="338" t="e">
        <f>C1*93</f>
        <v>#REF!</v>
      </c>
      <c r="H21" s="294" t="e">
        <f>G21/1000</f>
        <v>#REF!</v>
      </c>
      <c r="I21" s="178"/>
      <c r="J21" s="405"/>
      <c r="K21" s="405"/>
      <c r="L21" s="405"/>
      <c r="M21" s="409"/>
      <c r="N21" s="178"/>
      <c r="O21" s="178"/>
      <c r="P21" s="178"/>
      <c r="Q21" s="178"/>
      <c r="R21" s="294"/>
      <c r="S21" s="178"/>
      <c r="T21" s="178"/>
      <c r="U21" s="178"/>
      <c r="V21" s="178"/>
      <c r="W21" s="178"/>
      <c r="X21" s="178"/>
      <c r="Y21" s="178"/>
      <c r="Z21" s="178"/>
      <c r="AA21" s="178"/>
    </row>
    <row r="22" spans="1:27" ht="15.75">
      <c r="A22" s="331" t="s">
        <v>351</v>
      </c>
      <c r="B22" s="452">
        <v>2200</v>
      </c>
      <c r="C22" s="450">
        <f>B22*B$16/1000</f>
        <v>155478.39999999999</v>
      </c>
      <c r="E22" s="338"/>
      <c r="F22" s="338"/>
      <c r="G22" s="338"/>
      <c r="H22" s="338"/>
      <c r="I22" s="178"/>
      <c r="J22" s="405"/>
      <c r="K22" s="405"/>
      <c r="L22" s="405"/>
      <c r="M22" s="409"/>
      <c r="N22" s="178"/>
      <c r="O22" s="178"/>
      <c r="P22" s="178"/>
      <c r="Q22" s="178"/>
      <c r="R22" s="294"/>
      <c r="S22" s="178"/>
      <c r="T22" s="178"/>
      <c r="U22" s="178"/>
      <c r="V22" s="178"/>
      <c r="W22" s="178"/>
      <c r="X22" s="178"/>
      <c r="Y22" s="178"/>
      <c r="Z22" s="178"/>
      <c r="AA22" s="178"/>
    </row>
    <row r="23" spans="1:27" ht="15">
      <c r="A23" s="331" t="s">
        <v>353</v>
      </c>
      <c r="B23" s="452">
        <f>3*B18</f>
        <v>58.29</v>
      </c>
      <c r="C23" s="450">
        <f>B23*B$16/1000*F23</f>
        <v>3707.523792</v>
      </c>
      <c r="D23" s="65" t="s">
        <v>436</v>
      </c>
      <c r="E23" s="338"/>
      <c r="F23" s="449">
        <v>0.9</v>
      </c>
      <c r="G23" s="338"/>
      <c r="H23" s="338"/>
      <c r="I23" s="178"/>
      <c r="J23" s="405"/>
      <c r="K23" s="405"/>
      <c r="L23" s="405"/>
      <c r="M23" s="409"/>
      <c r="N23" s="178"/>
      <c r="O23" s="178"/>
      <c r="P23" s="178"/>
      <c r="Q23" s="178"/>
      <c r="R23" s="294"/>
      <c r="S23" s="178"/>
      <c r="T23" s="178"/>
      <c r="U23" s="178"/>
      <c r="V23" s="178"/>
      <c r="W23" s="178"/>
      <c r="X23" s="178"/>
      <c r="Y23" s="178"/>
      <c r="Z23" s="178"/>
      <c r="AA23" s="178"/>
    </row>
    <row r="24" spans="1:27" ht="15">
      <c r="A24" s="331" t="s">
        <v>354</v>
      </c>
      <c r="B24" s="452">
        <f>5000/1000</f>
        <v>5</v>
      </c>
      <c r="C24" s="450">
        <f>B24*B$16/1000</f>
        <v>353.36</v>
      </c>
      <c r="E24" s="338"/>
      <c r="F24" s="338"/>
      <c r="G24" s="338"/>
      <c r="H24" s="338"/>
      <c r="I24" s="178"/>
      <c r="J24" s="405"/>
      <c r="K24" s="405"/>
      <c r="L24" s="405"/>
      <c r="M24" s="409"/>
      <c r="N24" s="178"/>
      <c r="O24" s="178"/>
      <c r="P24" s="178"/>
      <c r="Q24" s="178"/>
      <c r="R24" s="294"/>
      <c r="S24" s="178"/>
      <c r="T24" s="178"/>
      <c r="U24" s="178"/>
      <c r="V24" s="178"/>
      <c r="W24" s="178"/>
      <c r="X24" s="178"/>
      <c r="Y24" s="178"/>
      <c r="Z24" s="178"/>
      <c r="AA24" s="178"/>
    </row>
    <row r="25" spans="1:27" ht="15">
      <c r="A25" s="331" t="s">
        <v>356</v>
      </c>
      <c r="B25" s="452">
        <f>0.4/1000</f>
        <v>4.0000000000000002E-4</v>
      </c>
      <c r="C25" s="450">
        <f>B25*B$16/1000*0.4</f>
        <v>1.1307520000000001E-2</v>
      </c>
      <c r="D25" s="65" t="s">
        <v>441</v>
      </c>
      <c r="E25" s="338"/>
      <c r="F25" s="338"/>
      <c r="G25" s="338"/>
      <c r="H25" s="338"/>
      <c r="I25" s="178"/>
      <c r="J25" s="405"/>
      <c r="K25" s="405"/>
      <c r="L25" s="405"/>
      <c r="M25" s="409"/>
      <c r="N25" s="178"/>
      <c r="O25" s="178"/>
      <c r="P25" s="178"/>
      <c r="Q25" s="178"/>
      <c r="R25" s="294"/>
      <c r="S25" s="178"/>
      <c r="T25" s="178"/>
      <c r="U25" s="178"/>
      <c r="V25" s="178"/>
      <c r="W25" s="178"/>
      <c r="X25" s="178"/>
      <c r="Y25" s="178"/>
      <c r="Z25" s="178"/>
      <c r="AA25" s="178"/>
    </row>
    <row r="26" spans="1:27" ht="15">
      <c r="A26" s="178"/>
      <c r="B26" s="178"/>
      <c r="C26" s="290"/>
      <c r="D26" s="84"/>
      <c r="E26" s="338"/>
      <c r="F26" s="338"/>
      <c r="G26" s="338"/>
      <c r="H26" s="338"/>
      <c r="I26" s="178"/>
      <c r="J26" s="405"/>
      <c r="K26" s="405"/>
      <c r="L26" s="405"/>
      <c r="M26" s="409"/>
      <c r="N26" s="178"/>
      <c r="O26" s="178"/>
      <c r="P26" s="178"/>
      <c r="Q26" s="178"/>
      <c r="R26" s="294"/>
      <c r="S26" s="178"/>
      <c r="T26" s="178"/>
      <c r="U26" s="178"/>
      <c r="V26" s="178"/>
      <c r="W26" s="178"/>
      <c r="X26" s="178"/>
      <c r="Y26" s="178"/>
      <c r="Z26" s="178"/>
      <c r="AA26" s="178"/>
    </row>
    <row r="27" spans="1:27" ht="15">
      <c r="A27" s="351" t="s">
        <v>442</v>
      </c>
      <c r="B27" s="178"/>
      <c r="C27" s="178"/>
      <c r="D27" s="84"/>
      <c r="E27" s="338"/>
      <c r="F27" s="338"/>
      <c r="G27" s="338"/>
      <c r="H27" s="338"/>
      <c r="I27" s="178"/>
      <c r="J27" s="405"/>
      <c r="K27" s="405"/>
      <c r="L27" s="405"/>
      <c r="M27" s="409"/>
      <c r="N27" s="178"/>
      <c r="O27" s="178"/>
      <c r="P27" s="178"/>
      <c r="Q27" s="178"/>
      <c r="R27" s="294"/>
      <c r="S27" s="178"/>
      <c r="T27" s="178"/>
      <c r="U27" s="178"/>
      <c r="V27" s="178"/>
      <c r="W27" s="178"/>
      <c r="X27" s="178"/>
      <c r="Y27" s="178"/>
      <c r="Z27" s="178"/>
      <c r="AA27" s="178"/>
    </row>
    <row r="28" spans="1:27" ht="15">
      <c r="A28" s="330" t="s">
        <v>394</v>
      </c>
      <c r="B28" s="326">
        <f>D8</f>
        <v>395233.16000000003</v>
      </c>
      <c r="C28" s="178"/>
      <c r="D28" s="84"/>
      <c r="E28" s="338"/>
      <c r="F28" s="338"/>
      <c r="G28" s="338"/>
      <c r="H28" s="338"/>
      <c r="I28" s="178"/>
      <c r="J28" s="405"/>
      <c r="K28" s="405"/>
      <c r="L28" s="405"/>
      <c r="M28" s="409"/>
      <c r="N28" s="178"/>
      <c r="O28" s="178"/>
      <c r="P28" s="178"/>
      <c r="Q28" s="178"/>
      <c r="R28" s="294"/>
      <c r="S28" s="178"/>
      <c r="T28" s="178"/>
      <c r="U28" s="178"/>
      <c r="V28" s="178"/>
      <c r="W28" s="178"/>
      <c r="X28" s="178"/>
      <c r="Y28" s="178"/>
      <c r="Z28" s="178"/>
      <c r="AA28" s="178"/>
    </row>
    <row r="29" spans="1:27" ht="15">
      <c r="A29" s="330" t="s">
        <v>386</v>
      </c>
      <c r="B29" s="320">
        <v>40</v>
      </c>
      <c r="C29" s="178"/>
      <c r="D29" s="84"/>
      <c r="E29" s="338"/>
      <c r="F29" s="338"/>
      <c r="G29" s="338"/>
      <c r="H29" s="338"/>
      <c r="I29" s="178"/>
      <c r="J29" s="405"/>
      <c r="K29" s="405"/>
      <c r="L29" s="405"/>
      <c r="M29" s="409"/>
      <c r="N29" s="178"/>
      <c r="O29" s="178"/>
      <c r="P29" s="178"/>
      <c r="Q29" s="178"/>
      <c r="R29" s="294"/>
      <c r="S29" s="178"/>
      <c r="T29" s="178"/>
      <c r="U29" s="178"/>
      <c r="V29" s="178"/>
      <c r="W29" s="178"/>
      <c r="X29" s="178"/>
      <c r="Y29" s="178"/>
      <c r="Z29" s="178"/>
      <c r="AA29" s="178"/>
    </row>
    <row r="30" spans="1:27" ht="15">
      <c r="A30" s="333" t="s">
        <v>395</v>
      </c>
      <c r="B30" s="320">
        <f>B28*B29/1000</f>
        <v>15809.326400000002</v>
      </c>
      <c r="C30" s="178"/>
      <c r="D30" s="84"/>
      <c r="E30" s="338"/>
      <c r="F30" s="338"/>
      <c r="G30" s="338"/>
      <c r="H30" s="338"/>
      <c r="I30" s="178"/>
      <c r="J30" s="405"/>
      <c r="K30" s="405"/>
      <c r="L30" s="405"/>
      <c r="M30" s="409"/>
      <c r="N30" s="178"/>
      <c r="O30" s="178"/>
      <c r="P30" s="178"/>
      <c r="Q30" s="178"/>
      <c r="R30" s="294"/>
      <c r="S30" s="178"/>
      <c r="T30" s="178"/>
      <c r="U30" s="178"/>
      <c r="V30" s="178"/>
      <c r="W30" s="178"/>
      <c r="X30" s="178"/>
      <c r="Y30" s="178"/>
      <c r="Z30" s="178"/>
      <c r="AA30" s="178"/>
    </row>
    <row r="31" spans="1:27" ht="15">
      <c r="A31" s="329" t="s">
        <v>397</v>
      </c>
      <c r="B31" s="336">
        <v>40</v>
      </c>
      <c r="C31" s="178"/>
      <c r="D31" s="84"/>
      <c r="E31" s="338"/>
      <c r="F31" s="338"/>
      <c r="G31" s="338"/>
      <c r="H31" s="338"/>
      <c r="I31" s="178"/>
      <c r="J31" s="405"/>
      <c r="K31" s="405"/>
      <c r="L31" s="405"/>
      <c r="M31" s="409"/>
      <c r="N31" s="178"/>
      <c r="O31" s="178"/>
      <c r="P31" s="178"/>
      <c r="Q31" s="178"/>
      <c r="R31" s="294"/>
      <c r="S31" s="178"/>
      <c r="T31" s="178"/>
      <c r="U31" s="178"/>
      <c r="V31" s="178"/>
      <c r="W31" s="178"/>
      <c r="X31" s="178"/>
      <c r="Y31" s="178"/>
      <c r="Z31" s="178"/>
      <c r="AA31" s="178"/>
    </row>
    <row r="32" spans="1:27" ht="15">
      <c r="A32" s="399" t="s">
        <v>387</v>
      </c>
      <c r="B32" s="400">
        <v>20</v>
      </c>
      <c r="C32" s="178"/>
      <c r="D32" s="84"/>
      <c r="E32" s="338"/>
      <c r="F32" s="338"/>
      <c r="G32" s="338"/>
      <c r="H32" s="338"/>
      <c r="I32" s="178"/>
      <c r="J32" s="405"/>
      <c r="K32" s="405"/>
      <c r="L32" s="405"/>
      <c r="M32" s="409"/>
      <c r="N32" s="178"/>
      <c r="O32" s="178"/>
      <c r="P32" s="178"/>
      <c r="Q32" s="178"/>
      <c r="R32" s="294"/>
      <c r="S32" s="178"/>
      <c r="T32" s="178"/>
      <c r="U32" s="178"/>
      <c r="V32" s="178"/>
      <c r="W32" s="178"/>
      <c r="X32" s="178"/>
      <c r="Y32" s="178"/>
      <c r="Z32" s="178"/>
      <c r="AA32" s="178"/>
    </row>
    <row r="33" spans="1:27" ht="15">
      <c r="A33" s="333"/>
      <c r="B33" s="328" t="s">
        <v>396</v>
      </c>
      <c r="C33" s="396" t="s">
        <v>390</v>
      </c>
      <c r="D33" s="84"/>
      <c r="E33" s="338"/>
      <c r="F33" s="338"/>
      <c r="G33" s="338"/>
      <c r="H33" s="338"/>
      <c r="I33" s="178"/>
      <c r="J33" s="405"/>
      <c r="K33" s="405"/>
      <c r="L33" s="405"/>
      <c r="M33" s="409"/>
      <c r="N33" s="178"/>
      <c r="O33" s="178"/>
      <c r="P33" s="178"/>
      <c r="Q33" s="178"/>
      <c r="R33" s="294"/>
      <c r="S33" s="178"/>
      <c r="T33" s="178"/>
      <c r="U33" s="178"/>
      <c r="V33" s="178"/>
      <c r="W33" s="178"/>
      <c r="X33" s="178"/>
      <c r="Y33" s="178"/>
      <c r="Z33" s="178"/>
      <c r="AA33" s="178"/>
    </row>
    <row r="34" spans="1:27" ht="15">
      <c r="A34" s="331" t="s">
        <v>349</v>
      </c>
      <c r="B34" s="454">
        <f>0.002*B31</f>
        <v>0.08</v>
      </c>
      <c r="C34" s="327">
        <f>B34*$B$28/1000000</f>
        <v>3.1618652800000001E-2</v>
      </c>
      <c r="D34" s="84"/>
      <c r="E34" s="338"/>
      <c r="F34" s="338"/>
      <c r="G34" s="338"/>
      <c r="H34" s="338"/>
      <c r="I34" s="178"/>
      <c r="J34" s="405"/>
      <c r="K34" s="405"/>
      <c r="L34" s="405"/>
      <c r="M34" s="409"/>
      <c r="N34" s="178"/>
      <c r="O34" s="178"/>
      <c r="P34" s="178"/>
      <c r="Q34" s="178"/>
      <c r="R34" s="294"/>
      <c r="S34" s="178"/>
      <c r="T34" s="178"/>
      <c r="U34" s="178"/>
      <c r="V34" s="178"/>
      <c r="W34" s="178"/>
      <c r="X34" s="178"/>
      <c r="Y34" s="178"/>
      <c r="Z34" s="178"/>
      <c r="AA34" s="178"/>
    </row>
    <row r="35" spans="1:27" ht="15">
      <c r="A35" s="331" t="s">
        <v>350</v>
      </c>
      <c r="B35" s="454">
        <v>1.92</v>
      </c>
      <c r="C35" s="327">
        <f t="shared" ref="C35:C38" si="1">B35*$B$28/1000000</f>
        <v>0.75884766720000008</v>
      </c>
      <c r="D35" s="84"/>
      <c r="E35" s="338"/>
      <c r="F35" s="338"/>
      <c r="G35" s="338"/>
      <c r="H35" s="338"/>
      <c r="I35" s="178"/>
      <c r="J35" s="405"/>
      <c r="K35" s="405"/>
      <c r="L35" s="405"/>
      <c r="M35" s="409"/>
      <c r="N35" s="178"/>
      <c r="O35" s="178"/>
      <c r="P35" s="178"/>
      <c r="Q35" s="178"/>
      <c r="R35" s="294"/>
      <c r="S35" s="178"/>
      <c r="T35" s="178"/>
      <c r="U35" s="178"/>
      <c r="V35" s="178"/>
      <c r="W35" s="178"/>
      <c r="X35" s="178"/>
      <c r="Y35" s="178"/>
      <c r="Z35" s="178"/>
      <c r="AA35" s="178"/>
    </row>
    <row r="36" spans="1:27" ht="15.75">
      <c r="A36" s="331" t="s">
        <v>351</v>
      </c>
      <c r="B36" s="454">
        <v>1964</v>
      </c>
      <c r="C36" s="327">
        <f t="shared" si="1"/>
        <v>776.23792623999998</v>
      </c>
      <c r="D36" s="84"/>
      <c r="E36" s="338"/>
      <c r="F36" s="338"/>
      <c r="G36" s="338"/>
      <c r="H36" s="338"/>
      <c r="I36" s="178"/>
      <c r="J36" s="405"/>
      <c r="K36" s="405"/>
      <c r="L36" s="405"/>
      <c r="M36" s="409"/>
      <c r="N36" s="178"/>
      <c r="O36" s="178"/>
      <c r="P36" s="178"/>
      <c r="Q36" s="178"/>
      <c r="R36" s="294"/>
      <c r="S36" s="178"/>
      <c r="T36" s="178"/>
      <c r="U36" s="178"/>
      <c r="V36" s="178"/>
      <c r="W36" s="178"/>
      <c r="X36" s="178"/>
      <c r="Y36" s="178"/>
      <c r="Z36" s="178"/>
      <c r="AA36" s="178"/>
    </row>
    <row r="37" spans="1:27" ht="18" customHeight="1">
      <c r="A37" s="331" t="s">
        <v>353</v>
      </c>
      <c r="B37" s="454">
        <f>14.5/1000</f>
        <v>1.4500000000000001E-2</v>
      </c>
      <c r="C37" s="327">
        <f t="shared" si="1"/>
        <v>5.73088082E-3</v>
      </c>
      <c r="D37" s="84"/>
      <c r="E37" s="338"/>
      <c r="F37" s="338"/>
      <c r="G37" s="338"/>
      <c r="H37" s="338"/>
      <c r="I37" s="178"/>
      <c r="J37" s="405"/>
      <c r="K37" s="405"/>
      <c r="L37" s="405"/>
      <c r="M37" s="409"/>
      <c r="N37" s="178"/>
      <c r="O37" s="178"/>
      <c r="P37" s="178"/>
      <c r="Q37" s="178"/>
      <c r="R37" s="294"/>
      <c r="S37" s="178"/>
      <c r="T37" s="178"/>
      <c r="U37" s="178"/>
      <c r="V37" s="178"/>
      <c r="W37" s="178"/>
      <c r="X37" s="178"/>
      <c r="Y37" s="178"/>
      <c r="Z37" s="178"/>
      <c r="AA37" s="178"/>
    </row>
    <row r="38" spans="1:27" ht="18" customHeight="1">
      <c r="A38" s="331" t="s">
        <v>354</v>
      </c>
      <c r="B38" s="454">
        <v>0.27500000000000002</v>
      </c>
      <c r="C38" s="327">
        <f t="shared" si="1"/>
        <v>0.10868911900000001</v>
      </c>
      <c r="D38" s="84"/>
      <c r="E38" s="338"/>
      <c r="F38" s="338"/>
      <c r="G38" s="338"/>
      <c r="H38" s="338"/>
      <c r="I38" s="178"/>
      <c r="J38" s="405"/>
      <c r="K38" s="405"/>
      <c r="L38" s="405"/>
      <c r="M38" s="409"/>
      <c r="N38" s="178"/>
      <c r="O38" s="178"/>
      <c r="P38" s="178"/>
      <c r="Q38" s="178"/>
      <c r="R38" s="294"/>
      <c r="S38" s="178"/>
      <c r="T38" s="178"/>
      <c r="U38" s="178"/>
      <c r="V38" s="178"/>
      <c r="W38" s="178"/>
      <c r="X38" s="178"/>
      <c r="Y38" s="178"/>
      <c r="Z38" s="178"/>
      <c r="AA38" s="178"/>
    </row>
    <row r="39" spans="1:27" ht="15">
      <c r="A39" s="331"/>
      <c r="B39" s="320"/>
      <c r="C39" s="327"/>
      <c r="D39" s="84"/>
      <c r="E39" s="338"/>
      <c r="F39" s="338"/>
      <c r="G39" s="338"/>
      <c r="H39" s="338"/>
      <c r="I39" s="178"/>
      <c r="J39" s="405"/>
      <c r="K39" s="405"/>
      <c r="L39" s="405"/>
      <c r="M39" s="409"/>
      <c r="N39" s="178"/>
      <c r="O39" s="178"/>
      <c r="P39" s="178"/>
      <c r="Q39" s="178"/>
      <c r="R39" s="294"/>
      <c r="S39" s="178"/>
      <c r="T39" s="178"/>
      <c r="U39" s="178"/>
      <c r="V39" s="178"/>
      <c r="W39" s="178"/>
      <c r="X39" s="178"/>
      <c r="Y39" s="178"/>
      <c r="Z39" s="178"/>
      <c r="AA39" s="178"/>
    </row>
    <row r="40" spans="1:27" ht="15">
      <c r="A40" s="178"/>
      <c r="B40" s="178"/>
      <c r="C40" s="290"/>
      <c r="D40" s="84"/>
      <c r="E40" s="338"/>
      <c r="F40" s="338"/>
      <c r="G40" s="338"/>
      <c r="H40" s="338"/>
      <c r="I40" s="178"/>
      <c r="J40" s="405"/>
      <c r="K40" s="405"/>
      <c r="L40" s="405"/>
      <c r="M40" s="409"/>
      <c r="N40" s="178"/>
      <c r="O40" s="178"/>
      <c r="P40" s="178"/>
      <c r="Q40" s="178"/>
      <c r="R40" s="294"/>
      <c r="S40" s="178"/>
      <c r="T40" s="178"/>
      <c r="U40" s="178"/>
      <c r="V40" s="178"/>
      <c r="W40" s="178"/>
      <c r="X40" s="178"/>
      <c r="Y40" s="178"/>
      <c r="Z40" s="178"/>
      <c r="AA40" s="178"/>
    </row>
    <row r="41" spans="1:27">
      <c r="A41" s="351" t="s">
        <v>384</v>
      </c>
      <c r="E41" s="412"/>
      <c r="F41" s="412"/>
      <c r="G41" s="412"/>
      <c r="H41" s="412"/>
      <c r="I41" s="178"/>
      <c r="J41" s="178"/>
      <c r="K41" s="178"/>
      <c r="L41" s="178"/>
      <c r="M41" s="409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</row>
    <row r="42" spans="1:27">
      <c r="A42" s="330" t="s">
        <v>391</v>
      </c>
      <c r="B42" s="331">
        <v>0.65</v>
      </c>
      <c r="C42" s="178"/>
      <c r="D42" s="261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261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</row>
    <row r="43" spans="1:27">
      <c r="A43" s="330" t="s">
        <v>386</v>
      </c>
      <c r="B43" s="331">
        <v>22.37</v>
      </c>
      <c r="C43" s="65" t="s">
        <v>392</v>
      </c>
      <c r="D43" s="261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</row>
    <row r="44" spans="1:27">
      <c r="A44" s="396" t="s">
        <v>385</v>
      </c>
      <c r="B44" s="397" t="e">
        <f>C9/B43/B42</f>
        <v>#REF!</v>
      </c>
      <c r="C44" s="178"/>
      <c r="D44" s="261"/>
      <c r="E44" s="178"/>
      <c r="F44" s="178"/>
      <c r="G44" s="178"/>
      <c r="H44" s="178"/>
      <c r="I44" s="178"/>
      <c r="J44" s="178"/>
      <c r="K44" s="178"/>
      <c r="L44" s="178"/>
      <c r="M44" s="413"/>
      <c r="N44" s="413"/>
      <c r="O44" s="178"/>
      <c r="P44" s="414"/>
      <c r="Q44" s="178"/>
      <c r="R44" s="178"/>
      <c r="S44" s="178"/>
      <c r="T44" s="178"/>
      <c r="U44" s="178"/>
      <c r="V44" s="178"/>
      <c r="W44" s="178"/>
      <c r="X44" s="178"/>
      <c r="Y44" s="178"/>
      <c r="Z44" s="178"/>
      <c r="AA44" s="178"/>
    </row>
    <row r="45" spans="1:27">
      <c r="A45" s="329" t="s">
        <v>388</v>
      </c>
      <c r="B45" s="336">
        <v>4</v>
      </c>
      <c r="C45" s="178"/>
      <c r="D45" s="261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29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</row>
    <row r="46" spans="1:27">
      <c r="A46" s="399" t="s">
        <v>387</v>
      </c>
      <c r="B46" s="400">
        <v>20</v>
      </c>
      <c r="C46" s="178"/>
      <c r="D46" s="261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294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</row>
    <row r="47" spans="1:27">
      <c r="A47" s="333"/>
      <c r="B47" s="328" t="s">
        <v>389</v>
      </c>
      <c r="C47" s="396" t="s">
        <v>390</v>
      </c>
      <c r="D47" s="352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294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</row>
    <row r="48" spans="1:27">
      <c r="A48" s="331" t="s">
        <v>349</v>
      </c>
      <c r="B48" s="320">
        <f>16000*B45/1000</f>
        <v>64</v>
      </c>
      <c r="C48" s="327" t="e">
        <f>B48*B$44/1000</f>
        <v>#REF!</v>
      </c>
      <c r="D48" s="294"/>
    </row>
    <row r="49" spans="1:20">
      <c r="A49" s="331" t="s">
        <v>350</v>
      </c>
      <c r="B49" s="320">
        <f>2200/1000</f>
        <v>2.2000000000000002</v>
      </c>
      <c r="C49" s="327" t="e">
        <f t="shared" ref="C49:C53" si="2">B49*B$44/1000</f>
        <v>#REF!</v>
      </c>
      <c r="D49" s="294"/>
      <c r="E49" s="178"/>
      <c r="F49" s="178"/>
      <c r="G49" s="178"/>
      <c r="H49" s="178"/>
      <c r="I49" s="178"/>
      <c r="J49" s="178"/>
      <c r="K49" s="178"/>
      <c r="L49" s="178"/>
      <c r="M49" s="178"/>
      <c r="N49" s="79"/>
      <c r="O49" s="79"/>
    </row>
    <row r="50" spans="1:20" ht="15.75">
      <c r="A50" s="331" t="s">
        <v>351</v>
      </c>
      <c r="B50" s="320">
        <v>1850</v>
      </c>
      <c r="C50" s="327" t="e">
        <f t="shared" si="2"/>
        <v>#REF!</v>
      </c>
      <c r="D50" s="294"/>
      <c r="E50" s="178"/>
      <c r="F50" s="178"/>
      <c r="G50" s="178"/>
      <c r="H50" s="178"/>
      <c r="I50" s="178"/>
    </row>
    <row r="51" spans="1:20">
      <c r="A51" s="331" t="s">
        <v>353</v>
      </c>
      <c r="B51" s="320">
        <f>1*B46</f>
        <v>20</v>
      </c>
      <c r="C51" s="327" t="e">
        <f t="shared" si="2"/>
        <v>#REF!</v>
      </c>
      <c r="D51" s="294"/>
      <c r="E51" s="178"/>
      <c r="F51" s="178"/>
      <c r="G51" s="178"/>
      <c r="H51" s="178"/>
      <c r="I51" s="178"/>
    </row>
    <row r="52" spans="1:20">
      <c r="A52" s="331" t="s">
        <v>354</v>
      </c>
      <c r="B52" s="320">
        <f>45000/1000</f>
        <v>45</v>
      </c>
      <c r="C52" s="327" t="e">
        <f t="shared" si="2"/>
        <v>#REF!</v>
      </c>
      <c r="D52" s="294"/>
      <c r="E52" s="178"/>
      <c r="F52" s="178"/>
      <c r="G52" s="178"/>
      <c r="H52" s="178"/>
      <c r="I52" s="178"/>
    </row>
    <row r="53" spans="1:20" ht="13.5" thickBot="1">
      <c r="A53" s="331" t="s">
        <v>356</v>
      </c>
      <c r="B53" s="320">
        <f>14/1000</f>
        <v>1.4E-2</v>
      </c>
      <c r="C53" s="327" t="e">
        <f t="shared" si="2"/>
        <v>#REF!</v>
      </c>
      <c r="D53" s="294"/>
      <c r="E53" s="178"/>
      <c r="F53" s="178"/>
      <c r="G53" s="104" t="s">
        <v>300</v>
      </c>
      <c r="H53" s="104" t="s">
        <v>419</v>
      </c>
      <c r="I53" s="104" t="s">
        <v>428</v>
      </c>
      <c r="J53" s="104" t="s">
        <v>429</v>
      </c>
      <c r="K53" s="65" t="s">
        <v>427</v>
      </c>
    </row>
    <row r="54" spans="1:20" ht="14.25" thickTop="1" thickBot="1">
      <c r="A54" s="351" t="s">
        <v>393</v>
      </c>
      <c r="B54" s="178"/>
      <c r="C54" s="178"/>
      <c r="D54" s="178"/>
      <c r="E54" s="178"/>
      <c r="F54" s="104" t="s">
        <v>430</v>
      </c>
      <c r="G54" s="443">
        <v>706137</v>
      </c>
      <c r="H54" s="444">
        <v>16045</v>
      </c>
      <c r="I54" s="444">
        <v>66531</v>
      </c>
      <c r="J54" s="445">
        <v>189752</v>
      </c>
      <c r="K54" s="356">
        <f>SUM(G54:J54)</f>
        <v>978465</v>
      </c>
      <c r="L54" s="91">
        <f>K54/(K54+K55)</f>
        <v>0.69527374585112434</v>
      </c>
    </row>
    <row r="55" spans="1:20" ht="13.5" thickTop="1">
      <c r="A55" s="330" t="s">
        <v>394</v>
      </c>
      <c r="B55" s="326">
        <f>J7*1.5</f>
        <v>8016000</v>
      </c>
      <c r="C55" s="178"/>
      <c r="D55" s="178"/>
      <c r="E55" s="178"/>
      <c r="F55" s="104" t="s">
        <v>431</v>
      </c>
      <c r="G55" s="304">
        <f>BILANS!I13</f>
        <v>18011</v>
      </c>
      <c r="H55" s="290">
        <f>BILANS!I2</f>
        <v>270724</v>
      </c>
      <c r="I55" s="304">
        <f>BILANS!I34</f>
        <v>15339</v>
      </c>
      <c r="J55" s="30">
        <f>BILANS!I24</f>
        <v>124770</v>
      </c>
      <c r="K55" s="30">
        <f>SUM(G55:J55)</f>
        <v>428844</v>
      </c>
    </row>
    <row r="56" spans="1:20">
      <c r="A56" s="330" t="s">
        <v>386</v>
      </c>
      <c r="B56" s="320">
        <v>40</v>
      </c>
      <c r="C56" s="178"/>
      <c r="D56" s="178"/>
      <c r="E56" s="178"/>
      <c r="F56" s="178"/>
      <c r="G56" s="290">
        <f>G54/G55</f>
        <v>39.205874187996223</v>
      </c>
      <c r="H56" s="290">
        <f>H54/H55</f>
        <v>5.9267002556108804E-2</v>
      </c>
      <c r="I56" s="290">
        <f>I54/I55</f>
        <v>4.3373753178173287</v>
      </c>
      <c r="L56" s="91" t="e">
        <f>L57/C1</f>
        <v>#REF!</v>
      </c>
      <c r="M56" s="65" t="s">
        <v>434</v>
      </c>
      <c r="N56" s="356">
        <f>M57*N57</f>
        <v>1580932.6400000001</v>
      </c>
      <c r="O56" s="65" t="s">
        <v>18</v>
      </c>
    </row>
    <row r="57" spans="1:20">
      <c r="A57" s="333" t="s">
        <v>395</v>
      </c>
      <c r="B57" s="320">
        <f>B55*B56/1000</f>
        <v>320640</v>
      </c>
      <c r="C57" s="178"/>
      <c r="D57" s="178"/>
      <c r="E57" s="104" t="s">
        <v>432</v>
      </c>
      <c r="F57" s="65">
        <v>1326438</v>
      </c>
      <c r="G57" s="178"/>
      <c r="H57" s="178"/>
      <c r="I57" s="178"/>
      <c r="K57" s="65" t="s">
        <v>433</v>
      </c>
      <c r="L57" s="356">
        <f>1021779</f>
        <v>1021779</v>
      </c>
      <c r="M57" s="447">
        <v>70672</v>
      </c>
      <c r="N57">
        <v>22.37</v>
      </c>
      <c r="O57" s="65" t="s">
        <v>443</v>
      </c>
    </row>
    <row r="58" spans="1:20">
      <c r="A58" s="329" t="s">
        <v>397</v>
      </c>
      <c r="B58" s="336">
        <v>40</v>
      </c>
      <c r="C58" s="178"/>
      <c r="D58" s="261"/>
      <c r="E58" s="178"/>
      <c r="F58" s="178"/>
      <c r="G58" s="178"/>
      <c r="H58" s="178"/>
      <c r="I58" s="178"/>
      <c r="L58" s="447">
        <v>565117</v>
      </c>
    </row>
    <row r="59" spans="1:20">
      <c r="A59" s="399" t="s">
        <v>387</v>
      </c>
      <c r="B59" s="400">
        <v>20</v>
      </c>
      <c r="C59" s="178"/>
      <c r="D59" s="261"/>
      <c r="E59" s="178"/>
      <c r="F59" s="178"/>
      <c r="G59" s="178"/>
      <c r="H59" s="178"/>
      <c r="I59" s="178"/>
    </row>
    <row r="60" spans="1:20">
      <c r="A60" s="333"/>
      <c r="B60" s="328" t="s">
        <v>396</v>
      </c>
      <c r="C60" s="396" t="s">
        <v>390</v>
      </c>
      <c r="D60" s="104"/>
      <c r="E60" s="178"/>
      <c r="F60" s="178"/>
      <c r="G60" s="178"/>
      <c r="H60" s="178"/>
      <c r="I60" s="178"/>
      <c r="J60" s="178"/>
      <c r="K60" s="178"/>
      <c r="L60" s="290">
        <f>L57/0.7</f>
        <v>1459684.2857142859</v>
      </c>
      <c r="M60" s="178"/>
      <c r="N60" s="79">
        <f>3200*600</f>
        <v>1920000</v>
      </c>
      <c r="O60" s="79" t="s">
        <v>278</v>
      </c>
    </row>
    <row r="61" spans="1:20">
      <c r="A61" s="331" t="s">
        <v>349</v>
      </c>
      <c r="B61" s="320">
        <f>0.002*B58</f>
        <v>0.08</v>
      </c>
      <c r="C61" s="327">
        <f>B61*$B$55/1000000</f>
        <v>0.64127999999999996</v>
      </c>
      <c r="D61" s="294"/>
      <c r="E61" s="178"/>
      <c r="F61" s="178"/>
      <c r="G61" s="178"/>
      <c r="H61" s="178"/>
      <c r="I61" s="178"/>
      <c r="J61" s="178"/>
      <c r="K61" s="178"/>
      <c r="L61" s="178"/>
      <c r="M61" s="178"/>
      <c r="N61" s="79">
        <f>N60*7</f>
        <v>13440000</v>
      </c>
      <c r="O61" s="79">
        <f>N61/1000</f>
        <v>13440</v>
      </c>
      <c r="P61" t="s">
        <v>18</v>
      </c>
      <c r="Q61" s="80" t="e">
        <f>O61/C1</f>
        <v>#REF!</v>
      </c>
      <c r="R61" s="80" t="e">
        <f>Q61*100</f>
        <v>#REF!</v>
      </c>
    </row>
    <row r="62" spans="1:20" ht="13.5" thickBot="1">
      <c r="A62" s="331" t="s">
        <v>350</v>
      </c>
      <c r="B62" s="320">
        <v>1.52</v>
      </c>
      <c r="C62" s="327">
        <f t="shared" ref="C62:C65" si="3">B62*$B$55/1000000</f>
        <v>12.18432</v>
      </c>
      <c r="D62" s="294"/>
      <c r="E62" s="178"/>
      <c r="F62" s="178"/>
      <c r="G62" s="178"/>
      <c r="H62" s="178"/>
      <c r="I62" s="79"/>
      <c r="J62" s="178"/>
      <c r="K62" s="178"/>
      <c r="L62" s="178"/>
      <c r="M62" s="178"/>
    </row>
    <row r="63" spans="1:20" ht="15.75">
      <c r="A63" s="331" t="s">
        <v>351</v>
      </c>
      <c r="B63" s="320">
        <v>2000</v>
      </c>
      <c r="C63" s="327">
        <f t="shared" si="3"/>
        <v>16032</v>
      </c>
      <c r="D63" s="294"/>
      <c r="E63" s="178"/>
      <c r="F63" s="178"/>
      <c r="G63" s="178"/>
      <c r="H63" s="178"/>
      <c r="I63" s="79"/>
      <c r="J63" s="178"/>
      <c r="K63" s="178"/>
      <c r="L63" s="178"/>
      <c r="M63" s="178"/>
      <c r="N63" s="79"/>
      <c r="O63" s="358"/>
      <c r="P63" s="359" t="s">
        <v>348</v>
      </c>
      <c r="Q63" s="360"/>
    </row>
    <row r="64" spans="1:20">
      <c r="A64" s="331" t="s">
        <v>353</v>
      </c>
      <c r="B64" s="320">
        <v>5.0000000000000001E-4</v>
      </c>
      <c r="C64" s="327">
        <f t="shared" si="3"/>
        <v>4.0080000000000003E-3</v>
      </c>
      <c r="D64" s="294"/>
      <c r="E64" s="178"/>
      <c r="F64" s="178"/>
      <c r="G64" s="178"/>
      <c r="H64" s="178"/>
      <c r="I64" s="79"/>
      <c r="J64" s="178"/>
      <c r="K64" s="178"/>
      <c r="L64" s="178"/>
      <c r="M64" s="178"/>
      <c r="N64">
        <f>478000*0.25</f>
        <v>119500</v>
      </c>
      <c r="O64" s="361">
        <f>N74</f>
        <v>52.976503654886713</v>
      </c>
      <c r="P64" s="362">
        <v>23.541577748887072</v>
      </c>
      <c r="Q64" s="363">
        <f>(P64-O64)/O64</f>
        <v>-0.55562228299836991</v>
      </c>
      <c r="R64" s="364">
        <f>-(O64-P64)</f>
        <v>-29.434925905999641</v>
      </c>
      <c r="S64" s="365">
        <f>(R64-O64)/O64</f>
        <v>-1.5556222829983697</v>
      </c>
      <c r="T64" s="91">
        <f>O64-P64</f>
        <v>29.434925905999641</v>
      </c>
    </row>
    <row r="65" spans="1:20">
      <c r="A65" s="331" t="s">
        <v>354</v>
      </c>
      <c r="B65" s="320">
        <v>0.3</v>
      </c>
      <c r="C65" s="327">
        <f t="shared" si="3"/>
        <v>2.4047999999999998</v>
      </c>
      <c r="D65" s="294"/>
      <c r="E65" s="178"/>
      <c r="F65" s="178"/>
      <c r="G65" s="178"/>
      <c r="H65" s="178"/>
      <c r="I65" s="79"/>
      <c r="J65" s="178"/>
      <c r="K65" s="178"/>
      <c r="L65" s="178"/>
      <c r="M65" s="178"/>
      <c r="N65" t="s">
        <v>352</v>
      </c>
      <c r="O65" s="361">
        <f>N75</f>
        <v>44879.029553096028</v>
      </c>
      <c r="P65" s="362">
        <v>20713.542395024473</v>
      </c>
      <c r="Q65" s="363">
        <f>(P65-O65)/O65</f>
        <v>-0.53845832672209537</v>
      </c>
      <c r="R65" s="364">
        <f>-(O65-P65)</f>
        <v>-24165.487158071555</v>
      </c>
      <c r="S65" s="365">
        <f>(R65-O65)/O65</f>
        <v>-1.5384583267220955</v>
      </c>
      <c r="T65" s="91">
        <f>O65-P65</f>
        <v>24165.487158071555</v>
      </c>
    </row>
    <row r="66" spans="1:20">
      <c r="A66" s="331"/>
      <c r="B66" s="320"/>
      <c r="C66" s="327"/>
      <c r="D66" s="294"/>
      <c r="E66" s="178"/>
      <c r="F66" s="79"/>
      <c r="G66" s="79"/>
      <c r="H66" s="79"/>
      <c r="I66" s="79"/>
      <c r="J66" s="178"/>
      <c r="K66" s="178"/>
      <c r="L66" s="178"/>
      <c r="M66" s="178"/>
      <c r="N66">
        <f>M66/3600</f>
        <v>0</v>
      </c>
      <c r="O66" s="361">
        <f>N76</f>
        <v>475.58722187442658</v>
      </c>
      <c r="P66" s="362">
        <v>197.12353739012556</v>
      </c>
      <c r="Q66" s="363">
        <f>(P66-O66)/O66</f>
        <v>-0.58551548838254142</v>
      </c>
      <c r="R66" s="364">
        <f>-(O66-P66)</f>
        <v>-278.46368448430098</v>
      </c>
      <c r="S66" s="365">
        <f>(R66-O66)/O66</f>
        <v>-1.5855154883825415</v>
      </c>
      <c r="T66" s="91">
        <f>O66-P66</f>
        <v>278.46368448430098</v>
      </c>
    </row>
    <row r="67" spans="1:20">
      <c r="A67" s="351" t="s">
        <v>298</v>
      </c>
      <c r="D67" s="178"/>
      <c r="E67" s="178"/>
      <c r="F67" s="79"/>
      <c r="G67" s="79"/>
      <c r="H67" s="79"/>
      <c r="I67" s="79"/>
      <c r="J67" s="178"/>
      <c r="K67" s="178"/>
      <c r="L67" s="178"/>
      <c r="M67" s="178"/>
      <c r="O67" s="361">
        <f>N77</f>
        <v>1084.6730776787169</v>
      </c>
      <c r="P67" s="362">
        <v>492.93974258198767</v>
      </c>
      <c r="Q67" s="363">
        <f>(P67-O67)/O67</f>
        <v>-0.54554072307490442</v>
      </c>
      <c r="R67" s="364">
        <f>-(O67-P67)</f>
        <v>-591.73333509672921</v>
      </c>
      <c r="S67" s="365">
        <f>(R67-O67)/O67</f>
        <v>-1.5455407230749043</v>
      </c>
      <c r="T67" s="91">
        <f>O67-P67</f>
        <v>591.73333509672921</v>
      </c>
    </row>
    <row r="68" spans="1:20">
      <c r="A68" s="330" t="s">
        <v>399</v>
      </c>
      <c r="B68" s="332" t="e">
        <f>B70/B69</f>
        <v>#REF!</v>
      </c>
      <c r="C68" s="178"/>
      <c r="E68" s="79"/>
      <c r="F68" s="79"/>
      <c r="G68" s="79"/>
      <c r="H68" s="79"/>
      <c r="I68" s="79"/>
      <c r="J68" s="178"/>
      <c r="K68" s="178"/>
      <c r="L68" s="178"/>
      <c r="M68" s="178"/>
      <c r="O68" s="361">
        <f>N78</f>
        <v>0.33168524023283658</v>
      </c>
      <c r="P68" s="362">
        <v>0.13384261749815288</v>
      </c>
      <c r="Q68" s="363">
        <f>(P68-O68)/O68</f>
        <v>-0.59647701717387858</v>
      </c>
      <c r="R68" s="364">
        <f>-(O68-P68)</f>
        <v>-0.1978426227346837</v>
      </c>
      <c r="S68" s="365">
        <f>(R68-O68)/O68</f>
        <v>-1.5964770171738787</v>
      </c>
      <c r="T68" s="91">
        <f>O68-P68</f>
        <v>0.1978426227346837</v>
      </c>
    </row>
    <row r="69" spans="1:20">
      <c r="A69" s="330" t="s">
        <v>386</v>
      </c>
      <c r="B69" s="320">
        <v>42</v>
      </c>
      <c r="C69" s="178"/>
      <c r="D69" s="178"/>
      <c r="E69" s="178"/>
      <c r="J69" s="178"/>
      <c r="K69" s="178"/>
      <c r="L69" s="178"/>
      <c r="M69" s="178"/>
      <c r="O69" s="366"/>
      <c r="P69" s="367"/>
      <c r="Q69" s="363"/>
      <c r="R69" s="368"/>
      <c r="S69" s="365"/>
      <c r="T69" s="91"/>
    </row>
    <row r="70" spans="1:20" ht="13.5" thickBot="1">
      <c r="A70" s="333" t="s">
        <v>395</v>
      </c>
      <c r="B70" s="337" t="e">
        <f>C6</f>
        <v>#REF!</v>
      </c>
      <c r="C70" s="178"/>
      <c r="D70" s="178"/>
      <c r="E70" s="178"/>
      <c r="J70" s="178"/>
      <c r="K70" s="178"/>
      <c r="L70" s="178"/>
      <c r="M70" s="178"/>
      <c r="O70" s="369">
        <f>N79</f>
        <v>48008.86660144198</v>
      </c>
      <c r="P70" s="370">
        <f>SUM(P64:P68)</f>
        <v>21427.281095362974</v>
      </c>
      <c r="Q70" s="371">
        <f>(P70-O70)/O70</f>
        <v>-0.55368075498955038</v>
      </c>
      <c r="R70" s="372">
        <v>44718.729670608984</v>
      </c>
      <c r="S70" s="365">
        <f>(R70-O70)/O70</f>
        <v>-6.8531860127982569E-2</v>
      </c>
    </row>
    <row r="71" spans="1:20" ht="13.5" thickBot="1">
      <c r="A71" s="329" t="s">
        <v>388</v>
      </c>
      <c r="B71" s="336">
        <v>7.0000000000000007E-2</v>
      </c>
      <c r="C71" s="178"/>
      <c r="D71" s="178"/>
      <c r="E71" s="178"/>
      <c r="J71" s="178"/>
      <c r="K71" s="178"/>
      <c r="L71" s="178"/>
      <c r="M71" s="178"/>
    </row>
    <row r="72" spans="1:20">
      <c r="A72" s="399" t="s">
        <v>387</v>
      </c>
      <c r="B72" s="400">
        <v>20</v>
      </c>
      <c r="C72" s="178"/>
      <c r="D72" s="178"/>
      <c r="E72" s="178"/>
      <c r="J72" s="178"/>
      <c r="K72" s="178"/>
      <c r="L72" s="178"/>
      <c r="M72" s="178"/>
      <c r="N72" s="359" t="s">
        <v>359</v>
      </c>
      <c r="O72" s="359" t="s">
        <v>360</v>
      </c>
      <c r="P72" s="373"/>
      <c r="Q72" s="374">
        <v>2030</v>
      </c>
      <c r="R72" s="374"/>
    </row>
    <row r="73" spans="1:20">
      <c r="A73" s="333"/>
      <c r="B73" s="328" t="s">
        <v>398</v>
      </c>
      <c r="C73" s="396" t="s">
        <v>390</v>
      </c>
      <c r="D73" s="178"/>
      <c r="E73" s="178"/>
      <c r="M73" s="375"/>
      <c r="N73" s="361">
        <v>1516.2685598976902</v>
      </c>
      <c r="O73" s="376">
        <v>1624.4896318750534</v>
      </c>
      <c r="P73" s="377">
        <f t="shared" ref="P73:P79" si="4">(O73-N73)/N73</f>
        <v>7.1373287582158509E-2</v>
      </c>
      <c r="Q73" s="378">
        <f t="shared" ref="Q73:Q78" si="5">-(N73-O73)</f>
        <v>108.22107197736318</v>
      </c>
      <c r="R73" s="365">
        <f t="shared" ref="R73:R79" si="6">(Q73-N73)/N73</f>
        <v>-0.92862671241784145</v>
      </c>
      <c r="S73" s="91">
        <f t="shared" ref="S73:S79" si="7">O73-N73</f>
        <v>108.22107197736318</v>
      </c>
    </row>
    <row r="74" spans="1:20">
      <c r="A74" s="331" t="s">
        <v>349</v>
      </c>
      <c r="B74" s="320">
        <f>20359.2*B71</f>
        <v>1425.1440000000002</v>
      </c>
      <c r="C74" s="327" t="e">
        <f t="shared" ref="C74:C79" si="8">B74*$B$68/1000000</f>
        <v>#REF!</v>
      </c>
      <c r="D74" s="178"/>
      <c r="E74" s="178"/>
      <c r="M74" s="375"/>
      <c r="N74" s="361">
        <v>52.976503654886713</v>
      </c>
      <c r="O74" s="376">
        <v>56.781070171180801</v>
      </c>
      <c r="P74" s="377">
        <f t="shared" si="4"/>
        <v>7.1816111932919965E-2</v>
      </c>
      <c r="Q74" s="378">
        <f t="shared" si="5"/>
        <v>3.8045665162940878</v>
      </c>
      <c r="R74" s="365">
        <f t="shared" si="6"/>
        <v>-0.92818388806708008</v>
      </c>
      <c r="S74" s="91">
        <f t="shared" si="7"/>
        <v>3.8045665162940878</v>
      </c>
    </row>
    <row r="75" spans="1:20">
      <c r="A75" s="331" t="s">
        <v>350</v>
      </c>
      <c r="B75" s="320">
        <f>2395.2</f>
        <v>2395.1999999999998</v>
      </c>
      <c r="C75" s="327" t="e">
        <f t="shared" si="8"/>
        <v>#REF!</v>
      </c>
      <c r="D75" s="178"/>
      <c r="E75" s="178"/>
      <c r="M75" s="375"/>
      <c r="N75" s="361">
        <v>44879.029553096028</v>
      </c>
      <c r="O75" s="376">
        <v>48110.309478397372</v>
      </c>
      <c r="P75" s="377">
        <f t="shared" si="4"/>
        <v>7.1999772666172329E-2</v>
      </c>
      <c r="Q75" s="378">
        <f t="shared" si="5"/>
        <v>3231.2799253013436</v>
      </c>
      <c r="R75" s="365">
        <f t="shared" si="6"/>
        <v>-0.9280002273338277</v>
      </c>
      <c r="S75" s="91">
        <f t="shared" si="7"/>
        <v>3231.2799253013436</v>
      </c>
    </row>
    <row r="76" spans="1:20" ht="15.75">
      <c r="A76" s="331" t="s">
        <v>351</v>
      </c>
      <c r="B76" s="320">
        <f>3233520</f>
        <v>3233520</v>
      </c>
      <c r="C76" s="327" t="e">
        <f t="shared" si="8"/>
        <v>#REF!</v>
      </c>
      <c r="D76" s="178"/>
      <c r="E76" s="178"/>
      <c r="H76" s="79"/>
      <c r="I76" s="79"/>
      <c r="J76" s="79"/>
      <c r="M76" s="375"/>
      <c r="N76" s="361">
        <v>475.58722187442658</v>
      </c>
      <c r="O76" s="376">
        <v>509.57251894867142</v>
      </c>
      <c r="P76" s="377">
        <f t="shared" si="4"/>
        <v>7.1459651376458294E-2</v>
      </c>
      <c r="Q76" s="378">
        <f t="shared" si="5"/>
        <v>33.985297074244841</v>
      </c>
      <c r="R76" s="365">
        <f t="shared" si="6"/>
        <v>-0.92854034862354173</v>
      </c>
      <c r="S76" s="91">
        <f t="shared" si="7"/>
        <v>33.985297074244841</v>
      </c>
    </row>
    <row r="77" spans="1:20">
      <c r="A77" s="331" t="s">
        <v>353</v>
      </c>
      <c r="B77" s="320">
        <f>407.184</f>
        <v>407.18400000000003</v>
      </c>
      <c r="C77" s="327" t="e">
        <f t="shared" si="8"/>
        <v>#REF!</v>
      </c>
      <c r="D77" s="178"/>
      <c r="E77" s="178"/>
      <c r="H77" s="79"/>
      <c r="I77" s="79"/>
      <c r="J77" s="79"/>
      <c r="M77" s="375"/>
      <c r="N77" s="361">
        <v>1084.6730776787169</v>
      </c>
      <c r="O77" s="376">
        <v>1162.7112123887962</v>
      </c>
      <c r="P77" s="377">
        <f t="shared" si="4"/>
        <v>7.1946226301741356E-2</v>
      </c>
      <c r="Q77" s="378">
        <f t="shared" si="5"/>
        <v>78.038134710079248</v>
      </c>
      <c r="R77" s="365">
        <f t="shared" si="6"/>
        <v>-0.9280537736982587</v>
      </c>
      <c r="S77" s="91">
        <f t="shared" si="7"/>
        <v>78.038134710079248</v>
      </c>
    </row>
    <row r="78" spans="1:20">
      <c r="A78" s="331" t="s">
        <v>354</v>
      </c>
      <c r="B78" s="320">
        <f>682.632</f>
        <v>682.63199999999995</v>
      </c>
      <c r="C78" s="327" t="e">
        <f t="shared" si="8"/>
        <v>#REF!</v>
      </c>
      <c r="D78" s="178"/>
      <c r="E78" s="178"/>
      <c r="H78" s="79"/>
      <c r="I78" s="79"/>
      <c r="J78" s="79"/>
      <c r="M78" s="375"/>
      <c r="N78" s="361">
        <v>0.33168524023283658</v>
      </c>
      <c r="O78" s="376">
        <v>0.35535807364185035</v>
      </c>
      <c r="P78" s="377">
        <f t="shared" si="4"/>
        <v>7.1371380265205356E-2</v>
      </c>
      <c r="Q78" s="378">
        <f t="shared" si="5"/>
        <v>2.3672833409013772E-2</v>
      </c>
      <c r="R78" s="365">
        <f t="shared" si="6"/>
        <v>-0.9286286197347946</v>
      </c>
      <c r="S78" s="91">
        <f t="shared" si="7"/>
        <v>2.3672833409013772E-2</v>
      </c>
      <c r="T78" s="35">
        <v>1120.1751837085958</v>
      </c>
    </row>
    <row r="79" spans="1:20" ht="13.5" thickBot="1">
      <c r="A79" s="331" t="s">
        <v>356</v>
      </c>
      <c r="B79" s="320">
        <f>0.311376</f>
        <v>0.31137599999999999</v>
      </c>
      <c r="C79" s="408" t="e">
        <f t="shared" si="8"/>
        <v>#REF!</v>
      </c>
      <c r="D79" s="178"/>
      <c r="E79" s="178"/>
      <c r="H79" s="79"/>
      <c r="I79" s="79"/>
      <c r="J79" s="79"/>
      <c r="N79" s="379">
        <f>SUM(N73:N78)</f>
        <v>48008.86660144198</v>
      </c>
      <c r="O79" s="380">
        <f>SUM(O73:O78)</f>
        <v>51464.219269854708</v>
      </c>
      <c r="P79" s="371">
        <f t="shared" si="4"/>
        <v>7.1973218970117159E-2</v>
      </c>
      <c r="Q79" s="381">
        <v>8528.866874854577</v>
      </c>
      <c r="R79" s="365">
        <f t="shared" si="6"/>
        <v>-0.82234808945482574</v>
      </c>
      <c r="S79" s="91">
        <f t="shared" si="7"/>
        <v>3455.3526684127282</v>
      </c>
      <c r="T79" s="35">
        <v>41.613007175863565</v>
      </c>
    </row>
    <row r="80" spans="1:20">
      <c r="A80" s="423" t="s">
        <v>401</v>
      </c>
      <c r="D80" s="178"/>
      <c r="E80" s="178"/>
      <c r="F80" s="178"/>
      <c r="G80" s="178"/>
      <c r="H80" s="178"/>
      <c r="I80" s="79"/>
      <c r="J80" s="79"/>
      <c r="M80" s="382">
        <v>94.61</v>
      </c>
      <c r="N80" s="383" t="e">
        <f>M80*C9</f>
        <v>#REF!</v>
      </c>
      <c r="O80" s="384" t="e">
        <f>N80+N81+N82</f>
        <v>#REF!</v>
      </c>
      <c r="T80" s="35">
        <v>35520.667000967995</v>
      </c>
    </row>
    <row r="81" spans="1:25">
      <c r="A81" s="330" t="s">
        <v>391</v>
      </c>
      <c r="B81" s="331">
        <v>0.95</v>
      </c>
      <c r="D81" s="178"/>
      <c r="H81" s="178"/>
      <c r="I81" s="79"/>
      <c r="J81" s="79"/>
      <c r="M81" s="385">
        <v>55.82</v>
      </c>
      <c r="N81" s="386">
        <f>M81+L5</f>
        <v>55.82</v>
      </c>
      <c r="O81" s="387" t="e">
        <f>O80/1000</f>
        <v>#REF!</v>
      </c>
      <c r="T81" s="35">
        <v>578.92730462273812</v>
      </c>
    </row>
    <row r="82" spans="1:25" ht="15.75" thickBot="1">
      <c r="A82" s="330" t="s">
        <v>399</v>
      </c>
      <c r="B82" s="332">
        <f>E85/B81</f>
        <v>473.68421052631584</v>
      </c>
      <c r="C82" s="178"/>
      <c r="D82" s="178"/>
      <c r="E82" s="11" t="s">
        <v>404</v>
      </c>
      <c r="H82" s="178"/>
      <c r="I82" s="79"/>
      <c r="J82" s="79"/>
      <c r="M82" s="388">
        <v>76.599999999999994</v>
      </c>
      <c r="N82" s="389" t="e">
        <f>M82*C6</f>
        <v>#REF!</v>
      </c>
      <c r="O82" s="390">
        <v>4896912.5</v>
      </c>
      <c r="T82" s="35">
        <v>178.93936421649374</v>
      </c>
    </row>
    <row r="83" spans="1:25">
      <c r="A83" s="330" t="s">
        <v>386</v>
      </c>
      <c r="B83" s="320">
        <v>42</v>
      </c>
      <c r="C83" s="178"/>
      <c r="D83" s="178"/>
      <c r="E83" s="320" t="s">
        <v>335</v>
      </c>
      <c r="F83" s="320"/>
      <c r="G83" s="320" t="s">
        <v>364</v>
      </c>
      <c r="H83" s="178"/>
      <c r="I83" s="79"/>
      <c r="J83" s="79"/>
      <c r="M83" t="s">
        <v>365</v>
      </c>
      <c r="N83" s="391">
        <f>G86*1000</f>
        <v>4000</v>
      </c>
      <c r="O83" s="392" t="e">
        <f>O81+O82</f>
        <v>#REF!</v>
      </c>
      <c r="T83" s="35">
        <v>17.426395131972122</v>
      </c>
      <c r="U83" s="35">
        <v>41.613007175863565</v>
      </c>
      <c r="V83" s="35">
        <v>35520.667000967995</v>
      </c>
      <c r="W83" s="35">
        <v>578.92730462273812</v>
      </c>
      <c r="X83" s="35">
        <v>178.93936421649374</v>
      </c>
      <c r="Y83" s="35">
        <v>17.426395131972122</v>
      </c>
    </row>
    <row r="84" spans="1:25">
      <c r="A84" s="333" t="s">
        <v>395</v>
      </c>
      <c r="B84" s="337">
        <f>E89</f>
        <v>6480</v>
      </c>
      <c r="C84" s="178"/>
      <c r="D84" s="178"/>
      <c r="E84" s="336">
        <v>250</v>
      </c>
      <c r="F84" s="320" t="s">
        <v>339</v>
      </c>
      <c r="G84" s="336">
        <v>3</v>
      </c>
      <c r="H84" s="178"/>
      <c r="N84">
        <f>N83/1000</f>
        <v>4</v>
      </c>
      <c r="O84" t="s">
        <v>366</v>
      </c>
    </row>
    <row r="85" spans="1:25">
      <c r="A85" s="329" t="s">
        <v>388</v>
      </c>
      <c r="B85" s="336">
        <v>7.0000000000000007E-2</v>
      </c>
      <c r="C85" s="178"/>
      <c r="D85" s="178"/>
      <c r="E85" s="320">
        <f>E84*0.6*G84</f>
        <v>450</v>
      </c>
      <c r="F85" s="333" t="s">
        <v>336</v>
      </c>
      <c r="G85" s="333" t="s">
        <v>402</v>
      </c>
      <c r="H85" s="178"/>
      <c r="N85">
        <f>N84*3.6</f>
        <v>14.4</v>
      </c>
      <c r="O85" t="s">
        <v>237</v>
      </c>
      <c r="Q85" s="356">
        <v>2303.4995808268736</v>
      </c>
      <c r="T85" s="35">
        <v>1120.1751837085958</v>
      </c>
    </row>
    <row r="86" spans="1:25">
      <c r="A86" s="399" t="s">
        <v>387</v>
      </c>
      <c r="B86" s="400">
        <v>20</v>
      </c>
      <c r="C86" s="178"/>
      <c r="D86" s="178"/>
      <c r="E86" s="320">
        <f>E85*G86*1000</f>
        <v>1800000</v>
      </c>
      <c r="F86" s="320" t="s">
        <v>19</v>
      </c>
      <c r="G86" s="320">
        <v>4</v>
      </c>
      <c r="H86" s="79"/>
      <c r="N86" s="39">
        <f>D4/N85</f>
        <v>32.894736842105267</v>
      </c>
      <c r="O86" t="s">
        <v>238</v>
      </c>
      <c r="Q86" s="356">
        <v>54.222228254568719</v>
      </c>
    </row>
    <row r="87" spans="1:25">
      <c r="A87" s="333"/>
      <c r="B87" s="328" t="s">
        <v>398</v>
      </c>
      <c r="C87" s="396" t="s">
        <v>390</v>
      </c>
      <c r="D87" s="178"/>
      <c r="E87" s="320">
        <f>E86/1000</f>
        <v>1800</v>
      </c>
      <c r="F87" s="320" t="s">
        <v>49</v>
      </c>
      <c r="G87" s="320">
        <f>E85/1000*G88</f>
        <v>1.35</v>
      </c>
      <c r="J87" s="79"/>
      <c r="K87" s="79"/>
      <c r="L87" s="79"/>
      <c r="O87">
        <v>1.8</v>
      </c>
      <c r="P87" t="s">
        <v>367</v>
      </c>
      <c r="Q87" s="356">
        <v>72076.797994586886</v>
      </c>
    </row>
    <row r="88" spans="1:25">
      <c r="A88" s="331" t="s">
        <v>349</v>
      </c>
      <c r="B88" s="320">
        <f>110</f>
        <v>110</v>
      </c>
      <c r="C88" s="327">
        <f>B88*$B$82/1000000</f>
        <v>5.2105263157894738E-2</v>
      </c>
      <c r="D88" s="178"/>
      <c r="E88" s="320">
        <f>E87*3.6</f>
        <v>6480</v>
      </c>
      <c r="F88" s="320" t="s">
        <v>18</v>
      </c>
      <c r="G88" s="320">
        <v>3</v>
      </c>
      <c r="J88" s="142"/>
      <c r="K88" s="79"/>
      <c r="L88" s="79"/>
      <c r="O88">
        <f>O87/406</f>
        <v>4.4334975369458131E-3</v>
      </c>
      <c r="P88" t="s">
        <v>368</v>
      </c>
      <c r="Q88" s="356">
        <v>1122.418812557853</v>
      </c>
    </row>
    <row r="89" spans="1:25">
      <c r="A89" s="331" t="s">
        <v>350</v>
      </c>
      <c r="B89" s="320">
        <v>1000</v>
      </c>
      <c r="C89" s="327">
        <f t="shared" ref="C89:C92" si="9">B89*$B$82/1000000</f>
        <v>0.47368421052631582</v>
      </c>
      <c r="D89" s="178"/>
      <c r="E89" s="401">
        <f>E88</f>
        <v>6480</v>
      </c>
      <c r="F89" s="320"/>
      <c r="G89" s="320"/>
      <c r="J89" s="79"/>
      <c r="K89" s="79"/>
      <c r="L89" s="79"/>
      <c r="Q89" s="356">
        <v>362.95522775766943</v>
      </c>
    </row>
    <row r="90" spans="1:25" ht="15.75">
      <c r="A90" s="331" t="s">
        <v>351</v>
      </c>
      <c r="B90" s="401">
        <v>1200000</v>
      </c>
      <c r="C90" s="327">
        <f t="shared" si="9"/>
        <v>568.42105263157907</v>
      </c>
      <c r="D90" s="178"/>
      <c r="E90" s="178"/>
      <c r="J90" s="79"/>
      <c r="K90" s="79"/>
      <c r="L90" s="79"/>
      <c r="Q90" s="356">
        <v>35.934797270122665</v>
      </c>
      <c r="U90" s="356">
        <v>362.95522775766943</v>
      </c>
      <c r="V90" s="356">
        <v>35.934797270122665</v>
      </c>
    </row>
    <row r="91" spans="1:25">
      <c r="A91" s="331" t="s">
        <v>353</v>
      </c>
      <c r="B91" s="320">
        <f>1500*1.75</f>
        <v>2625</v>
      </c>
      <c r="C91" s="327">
        <f t="shared" si="9"/>
        <v>1.2434210526315792</v>
      </c>
      <c r="J91" s="79"/>
      <c r="K91" s="79"/>
      <c r="L91" s="79"/>
    </row>
    <row r="92" spans="1:25">
      <c r="A92" s="331" t="s">
        <v>354</v>
      </c>
      <c r="B92" s="320">
        <v>26000</v>
      </c>
      <c r="C92" s="327">
        <f t="shared" si="9"/>
        <v>12.315789473684212</v>
      </c>
      <c r="J92" s="79"/>
      <c r="K92" s="178"/>
      <c r="L92" s="178"/>
      <c r="M92" s="178"/>
      <c r="N92" s="178"/>
      <c r="O92" s="178"/>
    </row>
    <row r="93" spans="1:25" ht="15.75">
      <c r="A93" s="423" t="s">
        <v>403</v>
      </c>
      <c r="J93" s="79"/>
      <c r="K93" s="178"/>
      <c r="L93" s="178"/>
      <c r="M93" s="178"/>
      <c r="N93" s="178"/>
      <c r="O93" s="402"/>
    </row>
    <row r="94" spans="1:25">
      <c r="A94" s="330" t="s">
        <v>391</v>
      </c>
      <c r="B94" s="331">
        <v>0.95</v>
      </c>
      <c r="D94" s="178"/>
      <c r="E94" s="178"/>
      <c r="F94" s="178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1:25">
      <c r="A95" s="330" t="s">
        <v>399</v>
      </c>
      <c r="B95" s="332" t="e">
        <f>D5</f>
        <v>#REF!</v>
      </c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1:25">
      <c r="A96" s="330" t="s">
        <v>386</v>
      </c>
      <c r="B96" s="320">
        <v>19</v>
      </c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1:15">
      <c r="A97" s="333" t="s">
        <v>395</v>
      </c>
      <c r="B97" s="337" t="e">
        <f>C5</f>
        <v>#REF!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1:15">
      <c r="A98" s="329" t="s">
        <v>388</v>
      </c>
      <c r="B98" s="336">
        <v>7.0000000000000007E-2</v>
      </c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1:15">
      <c r="A99" s="399" t="s">
        <v>387</v>
      </c>
      <c r="B99" s="400">
        <v>20</v>
      </c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1:15">
      <c r="A100" s="333"/>
      <c r="B100" s="328" t="s">
        <v>398</v>
      </c>
      <c r="C100" s="396" t="s">
        <v>390</v>
      </c>
      <c r="D100" s="178"/>
      <c r="E100" s="178"/>
      <c r="F100" s="178"/>
      <c r="G100" s="178"/>
      <c r="H100" s="178"/>
      <c r="I100" s="178"/>
      <c r="J100" s="353"/>
      <c r="K100" s="353"/>
      <c r="L100" s="410"/>
      <c r="M100" s="312"/>
      <c r="N100" s="411"/>
      <c r="O100" s="312"/>
    </row>
    <row r="101" spans="1:15">
      <c r="A101" s="331" t="s">
        <v>349</v>
      </c>
      <c r="B101" s="320">
        <f>110</f>
        <v>110</v>
      </c>
      <c r="C101" s="327" t="e">
        <f>B101*$B$95/1000000</f>
        <v>#REF!</v>
      </c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1:15">
      <c r="A102" s="331" t="s">
        <v>350</v>
      </c>
      <c r="B102" s="320">
        <v>1000</v>
      </c>
      <c r="C102" s="327" t="e">
        <f t="shared" ref="C102:C105" si="10">B102*$B$95/1000000</f>
        <v>#REF!</v>
      </c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1:15" ht="15.75">
      <c r="A103" s="331" t="s">
        <v>351</v>
      </c>
      <c r="B103" s="401">
        <v>1200000</v>
      </c>
      <c r="C103" s="327" t="e">
        <f t="shared" si="10"/>
        <v>#REF!</v>
      </c>
      <c r="D103" s="178"/>
      <c r="E103" s="178"/>
      <c r="F103" s="178"/>
      <c r="G103" s="178"/>
      <c r="H103" s="178"/>
      <c r="I103" s="178"/>
      <c r="J103" s="178"/>
      <c r="K103" s="178"/>
      <c r="L103" s="178"/>
    </row>
    <row r="104" spans="1:15">
      <c r="A104" s="331" t="s">
        <v>353</v>
      </c>
      <c r="B104" s="320">
        <f>1500*1.5</f>
        <v>2250</v>
      </c>
      <c r="C104" s="327" t="e">
        <f t="shared" si="10"/>
        <v>#REF!</v>
      </c>
      <c r="D104" s="178"/>
      <c r="E104" s="178"/>
      <c r="F104" s="178"/>
      <c r="G104" s="178"/>
      <c r="H104" s="178"/>
      <c r="I104" s="178"/>
      <c r="J104" s="178"/>
      <c r="K104" s="178"/>
      <c r="L104" s="178"/>
    </row>
    <row r="105" spans="1:15">
      <c r="A105" s="331" t="s">
        <v>354</v>
      </c>
      <c r="B105" s="320">
        <v>26000</v>
      </c>
      <c r="C105" s="327" t="e">
        <f t="shared" si="10"/>
        <v>#REF!</v>
      </c>
      <c r="D105" s="178"/>
      <c r="E105" s="178"/>
      <c r="F105" s="178"/>
      <c r="G105" s="178"/>
      <c r="H105" s="178"/>
      <c r="I105" s="178"/>
      <c r="J105" s="178"/>
      <c r="K105" s="178"/>
      <c r="L105" s="178"/>
      <c r="M105" s="375"/>
    </row>
    <row r="106" spans="1:15">
      <c r="A106" s="423" t="s">
        <v>406</v>
      </c>
      <c r="D106" s="178"/>
      <c r="E106" s="178"/>
      <c r="F106" s="178"/>
      <c r="G106" s="178"/>
      <c r="H106" s="178"/>
      <c r="I106" s="178"/>
      <c r="J106" s="178"/>
      <c r="K106" s="178"/>
      <c r="L106" s="178"/>
      <c r="M106" s="375"/>
    </row>
    <row r="107" spans="1:15">
      <c r="A107" s="330" t="s">
        <v>391</v>
      </c>
      <c r="B107" s="331">
        <v>0.95</v>
      </c>
      <c r="D107" s="178"/>
      <c r="E107" s="178"/>
      <c r="F107" s="178"/>
      <c r="G107" s="178"/>
      <c r="H107" s="178"/>
      <c r="I107" s="178"/>
      <c r="J107" s="178"/>
      <c r="K107" s="178"/>
      <c r="L107" s="178"/>
      <c r="M107" s="375"/>
    </row>
    <row r="108" spans="1:15">
      <c r="A108" s="330" t="s">
        <v>399</v>
      </c>
      <c r="B108" s="332">
        <f>D48</f>
        <v>0</v>
      </c>
      <c r="C108" s="178"/>
      <c r="D108" s="178"/>
      <c r="E108" s="178"/>
      <c r="F108" s="178"/>
      <c r="G108" s="178"/>
      <c r="H108" s="178"/>
      <c r="I108" s="178"/>
      <c r="J108" s="178"/>
      <c r="K108" s="178"/>
      <c r="L108" s="178"/>
      <c r="M108" s="375"/>
    </row>
    <row r="109" spans="1:15">
      <c r="A109" s="330" t="s">
        <v>386</v>
      </c>
      <c r="B109" s="320">
        <v>19</v>
      </c>
      <c r="C109" s="178"/>
      <c r="D109" s="178"/>
      <c r="E109" s="178"/>
      <c r="F109" s="178"/>
      <c r="G109" s="178"/>
      <c r="H109" s="178"/>
      <c r="I109" s="178"/>
      <c r="J109" s="178"/>
      <c r="K109" s="178"/>
      <c r="L109" s="178"/>
      <c r="M109" s="375"/>
    </row>
    <row r="110" spans="1:15">
      <c r="A110" s="333" t="s">
        <v>395</v>
      </c>
      <c r="B110" s="337" t="e">
        <f>C48</f>
        <v>#REF!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375"/>
    </row>
    <row r="111" spans="1:15">
      <c r="A111" s="329" t="s">
        <v>388</v>
      </c>
      <c r="B111" s="336">
        <v>7.0000000000000007E-2</v>
      </c>
      <c r="C111" s="178"/>
      <c r="D111" s="178"/>
      <c r="E111" s="178"/>
      <c r="F111" s="178"/>
      <c r="G111" s="178"/>
      <c r="H111" s="178"/>
      <c r="I111" s="178"/>
      <c r="J111" s="178"/>
      <c r="K111" s="178"/>
      <c r="L111" s="178"/>
    </row>
    <row r="112" spans="1:15">
      <c r="A112" s="399" t="s">
        <v>387</v>
      </c>
      <c r="B112" s="400">
        <v>20</v>
      </c>
      <c r="C112" s="178"/>
      <c r="D112" s="178"/>
      <c r="E112" s="178"/>
      <c r="F112" s="178"/>
      <c r="G112" s="178"/>
      <c r="H112" s="178"/>
      <c r="I112" s="178"/>
      <c r="J112" s="178"/>
      <c r="K112" s="178"/>
      <c r="L112" s="178"/>
    </row>
    <row r="113" spans="1:26">
      <c r="A113" s="333"/>
      <c r="B113" s="328" t="s">
        <v>398</v>
      </c>
      <c r="C113" s="396" t="s">
        <v>390</v>
      </c>
      <c r="D113" s="178"/>
      <c r="E113" s="178"/>
      <c r="F113" s="178"/>
      <c r="G113" s="178"/>
      <c r="H113" s="178"/>
      <c r="I113" s="178"/>
      <c r="J113" s="178"/>
      <c r="K113" s="178"/>
      <c r="L113" s="178"/>
    </row>
    <row r="114" spans="1:26">
      <c r="A114" s="331" t="s">
        <v>349</v>
      </c>
      <c r="B114" s="320"/>
      <c r="C114" s="327" t="e">
        <f>B114*$B$95/1000000</f>
        <v>#REF!</v>
      </c>
      <c r="D114" s="178"/>
      <c r="E114" s="178"/>
      <c r="F114" s="178"/>
      <c r="G114" s="178"/>
      <c r="H114" s="178"/>
      <c r="I114" s="178"/>
      <c r="J114" s="178"/>
      <c r="K114" s="178"/>
      <c r="L114" s="178"/>
    </row>
    <row r="115" spans="1:26">
      <c r="A115" s="331" t="s">
        <v>350</v>
      </c>
      <c r="B115" s="320"/>
      <c r="C115" s="327" t="e">
        <f t="shared" ref="C115:C118" si="11">B115*$B$95/1000000</f>
        <v>#REF!</v>
      </c>
      <c r="D115" s="178"/>
      <c r="E115" s="178"/>
      <c r="F115" s="178"/>
      <c r="G115" s="178"/>
      <c r="H115" s="178"/>
      <c r="I115" s="178"/>
      <c r="J115" s="178"/>
      <c r="K115" s="178"/>
      <c r="L115" s="178"/>
    </row>
    <row r="116" spans="1:26" ht="15.75">
      <c r="A116" s="331" t="s">
        <v>351</v>
      </c>
      <c r="B116" s="401"/>
      <c r="C116" s="327" t="e">
        <f t="shared" si="11"/>
        <v>#REF!</v>
      </c>
      <c r="D116" s="178"/>
      <c r="E116" s="178"/>
      <c r="F116" s="178"/>
      <c r="G116" s="178"/>
      <c r="H116" s="178"/>
      <c r="I116" s="178"/>
      <c r="J116" s="178"/>
      <c r="K116" s="178"/>
      <c r="L116" s="178"/>
    </row>
    <row r="117" spans="1:26">
      <c r="A117" s="331" t="s">
        <v>353</v>
      </c>
      <c r="B117" s="320"/>
      <c r="C117" s="327" t="e">
        <f t="shared" si="11"/>
        <v>#REF!</v>
      </c>
      <c r="D117" s="178"/>
      <c r="E117" s="178"/>
      <c r="F117" s="178"/>
      <c r="G117" s="178"/>
      <c r="H117" s="178"/>
      <c r="I117" s="178"/>
      <c r="J117" s="178"/>
      <c r="K117" s="178"/>
      <c r="L117" s="178"/>
    </row>
    <row r="118" spans="1:26">
      <c r="A118" s="331" t="s">
        <v>354</v>
      </c>
      <c r="B118" s="320"/>
      <c r="C118" s="327" t="e">
        <f t="shared" si="11"/>
        <v>#REF!</v>
      </c>
      <c r="D118" s="178"/>
      <c r="E118" s="178"/>
      <c r="F118" s="178"/>
      <c r="G118" s="178"/>
      <c r="H118" s="178"/>
      <c r="I118" s="178"/>
      <c r="J118" s="178"/>
      <c r="K118" s="178"/>
      <c r="L118" s="178"/>
    </row>
    <row r="119" spans="1:26" ht="13.5" thickBot="1">
      <c r="A119" s="178"/>
      <c r="B119" s="178"/>
      <c r="C119" s="178"/>
      <c r="D119" s="178"/>
      <c r="E119" s="178"/>
      <c r="F119" s="178"/>
      <c r="G119" s="178"/>
      <c r="H119" s="178"/>
      <c r="I119" s="178"/>
      <c r="J119" s="178"/>
      <c r="K119" s="178"/>
      <c r="L119" s="178"/>
    </row>
    <row r="120" spans="1:26" ht="77.25" thickBot="1">
      <c r="A120" s="434" t="s">
        <v>405</v>
      </c>
      <c r="B120" s="441" t="s">
        <v>390</v>
      </c>
      <c r="C120" s="441" t="s">
        <v>463</v>
      </c>
      <c r="D120" s="441" t="s">
        <v>464</v>
      </c>
      <c r="F120" s="466" t="s">
        <v>453</v>
      </c>
      <c r="G120" s="468" t="s">
        <v>454</v>
      </c>
      <c r="H120" s="467" t="s">
        <v>455</v>
      </c>
      <c r="I120" s="467" t="s">
        <v>456</v>
      </c>
      <c r="J120" s="467" t="s">
        <v>457</v>
      </c>
      <c r="K120" s="178"/>
      <c r="L120" s="178"/>
    </row>
    <row r="121" spans="1:26" ht="13.5" thickBot="1">
      <c r="A121" s="331" t="s">
        <v>349</v>
      </c>
      <c r="B121" s="465" t="e">
        <f>C48+C61+C74+C88+C101+C34+C20</f>
        <v>#REF!</v>
      </c>
      <c r="C121" s="465" t="e">
        <f>#REF!</f>
        <v>#REF!</v>
      </c>
      <c r="D121" s="465" t="e">
        <f>#REF!</f>
        <v>#REF!</v>
      </c>
      <c r="F121" s="467" t="s">
        <v>462</v>
      </c>
      <c r="G121" s="474" t="e">
        <f>C121-B121</f>
        <v>#REF!</v>
      </c>
      <c r="H121" s="468" t="e">
        <f>(C121-B121)/B121</f>
        <v>#REF!</v>
      </c>
      <c r="I121" s="475" t="e">
        <f>D121-B121</f>
        <v>#REF!</v>
      </c>
      <c r="J121" s="469" t="e">
        <f>(D121-B121)/B121</f>
        <v>#REF!</v>
      </c>
      <c r="K121" s="178"/>
      <c r="L121" s="178"/>
    </row>
    <row r="122" spans="1:26" ht="15" thickBot="1">
      <c r="A122" s="331" t="s">
        <v>350</v>
      </c>
      <c r="B122" s="465" t="e">
        <f t="shared" ref="B122:B126" si="12">C49+C62+C75+C89+C102+C35+C21</f>
        <v>#REF!</v>
      </c>
      <c r="C122" s="465" t="e">
        <f>#REF!</f>
        <v>#REF!</v>
      </c>
      <c r="D122" s="465" t="e">
        <f>#REF!</f>
        <v>#REF!</v>
      </c>
      <c r="F122" s="467" t="s">
        <v>458</v>
      </c>
      <c r="G122" s="474" t="e">
        <f t="shared" ref="G122:G126" si="13">C122-B122</f>
        <v>#REF!</v>
      </c>
      <c r="H122" s="468" t="e">
        <f t="shared" ref="H122:H126" si="14">(C122-B122)/B122</f>
        <v>#REF!</v>
      </c>
      <c r="I122" s="475" t="e">
        <f t="shared" ref="I122:I126" si="15">D122-B122</f>
        <v>#REF!</v>
      </c>
      <c r="J122" s="469" t="e">
        <f t="shared" ref="J122:J126" si="16">(D122-B122)/B122</f>
        <v>#REF!</v>
      </c>
      <c r="K122" s="178"/>
      <c r="L122" s="178"/>
      <c r="M122" s="178"/>
      <c r="N122" s="178"/>
      <c r="O122" s="178"/>
      <c r="P122" s="178"/>
      <c r="Q122" s="178"/>
      <c r="R122" s="178"/>
      <c r="S122" s="178"/>
      <c r="T122" s="178"/>
      <c r="U122" s="178"/>
      <c r="V122" s="178"/>
      <c r="W122" s="178"/>
      <c r="X122" s="178"/>
      <c r="Y122" s="178"/>
      <c r="Z122" s="178"/>
    </row>
    <row r="123" spans="1:26" ht="16.5" thickBot="1">
      <c r="A123" s="331" t="s">
        <v>351</v>
      </c>
      <c r="B123" s="465" t="e">
        <f t="shared" si="12"/>
        <v>#REF!</v>
      </c>
      <c r="C123" s="465" t="e">
        <f>#REF!</f>
        <v>#REF!</v>
      </c>
      <c r="D123" s="465" t="e">
        <f>#REF!</f>
        <v>#REF!</v>
      </c>
      <c r="F123" s="467" t="s">
        <v>459</v>
      </c>
      <c r="G123" s="474" t="e">
        <f t="shared" si="13"/>
        <v>#REF!</v>
      </c>
      <c r="H123" s="468" t="e">
        <f t="shared" si="14"/>
        <v>#REF!</v>
      </c>
      <c r="I123" s="475" t="e">
        <f t="shared" si="15"/>
        <v>#REF!</v>
      </c>
      <c r="J123" s="469" t="e">
        <f t="shared" si="16"/>
        <v>#REF!</v>
      </c>
      <c r="K123" s="178"/>
      <c r="L123" s="178"/>
      <c r="M123" s="178"/>
      <c r="N123" s="178"/>
      <c r="O123" s="178"/>
      <c r="P123" s="178"/>
      <c r="Q123" s="178"/>
      <c r="R123" s="178"/>
      <c r="S123" s="178"/>
      <c r="T123" s="178"/>
      <c r="U123" s="178"/>
      <c r="V123" s="178"/>
      <c r="W123" s="178"/>
      <c r="X123" s="178"/>
      <c r="Y123" s="178"/>
      <c r="Z123" s="178"/>
    </row>
    <row r="124" spans="1:26" ht="26.25" thickBot="1">
      <c r="A124" s="331" t="s">
        <v>353</v>
      </c>
      <c r="B124" s="465" t="e">
        <f t="shared" si="12"/>
        <v>#REF!</v>
      </c>
      <c r="C124" s="465" t="e">
        <f>#REF!</f>
        <v>#REF!</v>
      </c>
      <c r="D124" s="465" t="e">
        <f>#REF!</f>
        <v>#REF!</v>
      </c>
      <c r="F124" s="466" t="s">
        <v>460</v>
      </c>
      <c r="G124" s="474" t="e">
        <f t="shared" si="13"/>
        <v>#REF!</v>
      </c>
      <c r="H124" s="468" t="e">
        <f t="shared" si="14"/>
        <v>#REF!</v>
      </c>
      <c r="I124" s="475" t="e">
        <f t="shared" si="15"/>
        <v>#REF!</v>
      </c>
      <c r="J124" s="469" t="e">
        <f t="shared" si="16"/>
        <v>#REF!</v>
      </c>
      <c r="K124" s="178"/>
      <c r="L124" s="294"/>
      <c r="M124" s="294"/>
      <c r="N124" s="294"/>
      <c r="O124" s="294"/>
      <c r="P124" s="294"/>
      <c r="Q124" s="294"/>
      <c r="R124" s="294"/>
      <c r="S124" s="178"/>
      <c r="T124" s="178"/>
      <c r="U124" s="178"/>
      <c r="V124" s="178"/>
      <c r="W124" s="178"/>
      <c r="X124" s="178"/>
      <c r="Y124" s="178"/>
      <c r="Z124" s="178"/>
    </row>
    <row r="125" spans="1:26" ht="13.5" thickBot="1">
      <c r="A125" s="331" t="s">
        <v>354</v>
      </c>
      <c r="B125" s="465" t="e">
        <f t="shared" si="12"/>
        <v>#REF!</v>
      </c>
      <c r="C125" s="465" t="e">
        <f>#REF!</f>
        <v>#REF!</v>
      </c>
      <c r="D125" s="465" t="e">
        <f>#REF!</f>
        <v>#REF!</v>
      </c>
      <c r="F125" s="467" t="s">
        <v>363</v>
      </c>
      <c r="G125" s="474" t="e">
        <f t="shared" si="13"/>
        <v>#REF!</v>
      </c>
      <c r="H125" s="468" t="e">
        <f t="shared" si="14"/>
        <v>#REF!</v>
      </c>
      <c r="I125" s="475" t="e">
        <f t="shared" si="15"/>
        <v>#REF!</v>
      </c>
      <c r="J125" s="469" t="e">
        <f t="shared" si="16"/>
        <v>#REF!</v>
      </c>
      <c r="K125" s="178"/>
      <c r="L125" s="294"/>
      <c r="M125" s="178"/>
      <c r="N125" s="178"/>
      <c r="O125" s="178"/>
      <c r="P125" s="178"/>
      <c r="Q125" s="178"/>
      <c r="R125" s="178"/>
      <c r="S125" s="178"/>
      <c r="T125" s="178"/>
      <c r="U125" s="178"/>
      <c r="V125" s="178"/>
      <c r="W125" s="178"/>
      <c r="X125" s="178"/>
      <c r="Y125" s="178"/>
      <c r="Z125" s="178"/>
    </row>
    <row r="126" spans="1:26" ht="13.5" thickBot="1">
      <c r="A126" s="331" t="s">
        <v>356</v>
      </c>
      <c r="B126" s="465" t="e">
        <f t="shared" si="12"/>
        <v>#REF!</v>
      </c>
      <c r="C126" s="465" t="e">
        <f>#REF!</f>
        <v>#REF!</v>
      </c>
      <c r="D126" s="465" t="e">
        <f>#REF!</f>
        <v>#REF!</v>
      </c>
      <c r="F126" s="467" t="s">
        <v>461</v>
      </c>
      <c r="G126" s="474" t="e">
        <f t="shared" si="13"/>
        <v>#REF!</v>
      </c>
      <c r="H126" s="468" t="e">
        <f t="shared" si="14"/>
        <v>#REF!</v>
      </c>
      <c r="I126" s="475" t="e">
        <f t="shared" si="15"/>
        <v>#REF!</v>
      </c>
      <c r="J126" s="469" t="e">
        <f t="shared" si="16"/>
        <v>#REF!</v>
      </c>
      <c r="K126" s="178"/>
      <c r="L126" s="294"/>
      <c r="M126" s="178"/>
      <c r="N126" s="178"/>
      <c r="O126" s="178"/>
      <c r="P126" s="178"/>
      <c r="Q126" s="178"/>
      <c r="R126" s="178"/>
      <c r="S126" s="178"/>
      <c r="T126" s="178"/>
      <c r="U126" s="178"/>
      <c r="V126" s="178"/>
      <c r="W126" s="178"/>
      <c r="X126" s="178"/>
      <c r="Y126" s="178"/>
      <c r="Z126" s="178"/>
    </row>
    <row r="127" spans="1:26">
      <c r="A127" s="178"/>
      <c r="B127" s="178"/>
      <c r="C127" s="178"/>
      <c r="D127" s="352"/>
      <c r="E127" s="470"/>
      <c r="F127" s="471"/>
      <c r="G127" s="472"/>
      <c r="H127" s="473"/>
      <c r="I127" s="178"/>
      <c r="J127" s="178"/>
      <c r="K127" s="178"/>
      <c r="L127" s="294"/>
      <c r="M127" s="178"/>
      <c r="N127" s="178"/>
      <c r="O127" s="178"/>
      <c r="P127" s="178"/>
      <c r="Q127" s="178"/>
      <c r="R127" s="178"/>
      <c r="S127" s="178"/>
      <c r="T127" s="178"/>
      <c r="U127" s="178"/>
      <c r="V127" s="178"/>
      <c r="W127" s="178"/>
      <c r="X127" s="178"/>
      <c r="Y127" s="178"/>
      <c r="Z127" s="178"/>
    </row>
    <row r="128" spans="1:26" ht="15">
      <c r="A128" s="178"/>
      <c r="B128" s="431"/>
      <c r="C128" s="432"/>
      <c r="D128" s="432"/>
      <c r="E128" s="432"/>
      <c r="F128" s="432"/>
      <c r="G128" s="432"/>
      <c r="H128" s="432"/>
      <c r="I128" s="432"/>
      <c r="J128" s="178"/>
      <c r="K128" s="178"/>
      <c r="L128" s="294"/>
      <c r="M128" s="178"/>
      <c r="N128" s="178"/>
      <c r="O128" s="178"/>
      <c r="P128" s="178"/>
      <c r="Q128" s="178"/>
      <c r="R128" s="178"/>
      <c r="S128" s="178"/>
      <c r="T128" s="178"/>
      <c r="U128" s="178"/>
      <c r="V128" s="178"/>
      <c r="W128" s="178"/>
      <c r="X128" s="178"/>
      <c r="Y128" s="178"/>
      <c r="Z128" s="178"/>
    </row>
    <row r="129" spans="2:26" ht="15">
      <c r="C129" s="432"/>
      <c r="D129" s="432"/>
      <c r="E129" s="432"/>
      <c r="F129" s="432"/>
      <c r="G129" s="432"/>
      <c r="H129" s="432"/>
      <c r="I129" s="432"/>
      <c r="J129" s="178"/>
      <c r="K129" s="178"/>
      <c r="L129" s="294"/>
      <c r="M129" s="178"/>
      <c r="N129" s="178"/>
      <c r="O129" s="178"/>
      <c r="P129" s="178"/>
      <c r="Q129" s="178"/>
      <c r="R129" s="178"/>
      <c r="S129" s="178"/>
      <c r="T129" s="178"/>
      <c r="U129" s="178"/>
      <c r="V129" s="178"/>
      <c r="W129" s="178"/>
      <c r="X129" s="178"/>
      <c r="Y129" s="178"/>
      <c r="Z129" s="178"/>
    </row>
    <row r="130" spans="2:26" ht="15">
      <c r="B130" s="356">
        <v>704.57650197821147</v>
      </c>
      <c r="C130" s="433"/>
      <c r="D130" s="433"/>
      <c r="E130" s="433"/>
      <c r="F130" s="433"/>
      <c r="G130" s="433"/>
      <c r="H130" s="433"/>
      <c r="I130" s="433"/>
      <c r="J130" s="178"/>
      <c r="K130" s="178"/>
      <c r="L130" s="178"/>
      <c r="M130" s="178"/>
      <c r="N130" s="178"/>
      <c r="O130" s="178"/>
      <c r="P130" s="178"/>
      <c r="Q130" s="178"/>
      <c r="R130" s="178"/>
      <c r="S130" s="178"/>
      <c r="T130" s="178"/>
      <c r="U130" s="178"/>
      <c r="V130" s="178"/>
      <c r="W130" s="178"/>
      <c r="X130" s="178"/>
      <c r="Y130" s="178"/>
      <c r="Z130" s="178"/>
    </row>
    <row r="131" spans="2:26">
      <c r="B131" s="356">
        <v>175.61725849593788</v>
      </c>
      <c r="C131" s="178"/>
      <c r="D131" s="178"/>
      <c r="E131" s="178"/>
      <c r="F131" s="178"/>
      <c r="G131" s="178"/>
      <c r="H131" s="178"/>
      <c r="I131" s="178"/>
      <c r="J131" s="178"/>
      <c r="K131" s="178"/>
      <c r="L131" s="178"/>
      <c r="M131" s="178"/>
      <c r="N131" s="178"/>
      <c r="O131" s="178"/>
      <c r="P131" s="178"/>
      <c r="Q131" s="178"/>
      <c r="R131" s="178"/>
      <c r="S131" s="178"/>
      <c r="T131" s="178"/>
      <c r="U131" s="178"/>
      <c r="V131" s="178"/>
      <c r="W131" s="178"/>
      <c r="X131" s="178"/>
      <c r="Y131" s="178"/>
      <c r="Z131" s="178"/>
    </row>
    <row r="132" spans="2:26">
      <c r="B132" s="356">
        <v>180013.96514096376</v>
      </c>
      <c r="C132" s="178"/>
      <c r="D132" s="178"/>
      <c r="E132" s="178"/>
      <c r="F132" s="178">
        <f>90*220</f>
        <v>19800</v>
      </c>
      <c r="G132" s="178"/>
      <c r="H132" s="178"/>
      <c r="I132" s="178"/>
      <c r="J132" s="178"/>
      <c r="K132" s="178"/>
      <c r="L132" s="178"/>
      <c r="M132" s="178"/>
      <c r="N132" s="178"/>
      <c r="O132" s="178"/>
      <c r="P132" s="178"/>
      <c r="Q132" s="178"/>
      <c r="R132" s="178"/>
      <c r="S132" s="178"/>
      <c r="T132" s="178"/>
      <c r="U132" s="178"/>
      <c r="V132" s="178"/>
      <c r="W132" s="178"/>
      <c r="X132" s="178"/>
      <c r="Y132" s="178"/>
      <c r="Z132" s="178"/>
    </row>
    <row r="133" spans="2:26">
      <c r="B133" s="356">
        <v>3946.7824667857108</v>
      </c>
      <c r="C133" s="178"/>
      <c r="D133" s="178"/>
      <c r="E133" s="178"/>
      <c r="F133" s="178">
        <f>F132/H133</f>
        <v>66</v>
      </c>
      <c r="G133" s="178">
        <v>25</v>
      </c>
      <c r="H133" s="178">
        <f>G133*G134</f>
        <v>300</v>
      </c>
      <c r="I133" s="178"/>
      <c r="J133" s="178"/>
      <c r="K133" s="178"/>
      <c r="L133" s="178"/>
      <c r="M133" s="178"/>
      <c r="N133" s="178"/>
      <c r="O133" s="178"/>
      <c r="P133" s="178"/>
      <c r="Q133" s="178"/>
      <c r="R133" s="178"/>
      <c r="S133" s="178"/>
      <c r="T133" s="178"/>
      <c r="U133" s="178"/>
      <c r="V133" s="178"/>
      <c r="W133" s="178"/>
      <c r="X133" s="178"/>
      <c r="Y133" s="178"/>
      <c r="Z133" s="178"/>
    </row>
    <row r="134" spans="2:26">
      <c r="B134" s="356">
        <v>474.17348562944335</v>
      </c>
      <c r="C134" s="178"/>
      <c r="D134" s="178"/>
      <c r="E134" s="178"/>
      <c r="F134" s="178">
        <f>F133*6.2</f>
        <v>409.2</v>
      </c>
      <c r="G134" s="178">
        <v>12</v>
      </c>
      <c r="H134" s="178"/>
      <c r="I134" s="178"/>
      <c r="J134" s="178"/>
      <c r="K134" s="178"/>
      <c r="L134" s="178"/>
      <c r="M134" s="178"/>
      <c r="N134" s="178"/>
      <c r="O134" s="178"/>
      <c r="P134" s="178"/>
      <c r="Q134" s="178"/>
      <c r="R134" s="178"/>
      <c r="S134" s="178"/>
      <c r="T134" s="178"/>
      <c r="U134" s="178"/>
      <c r="V134" s="178"/>
      <c r="W134" s="178"/>
      <c r="X134" s="178"/>
      <c r="Y134" s="178"/>
      <c r="Z134" s="178"/>
    </row>
    <row r="135" spans="2:26">
      <c r="B135" s="356">
        <v>3.1192988951160138E-2</v>
      </c>
      <c r="F135">
        <v>250</v>
      </c>
    </row>
    <row r="136" spans="2:26">
      <c r="F136">
        <v>220</v>
      </c>
    </row>
    <row r="137" spans="2:26">
      <c r="F137">
        <v>120</v>
      </c>
    </row>
    <row r="146" spans="2:8">
      <c r="B146" s="356">
        <v>704.57650197821147</v>
      </c>
      <c r="C146" s="356">
        <v>175.61725849593788</v>
      </c>
      <c r="D146" s="356">
        <v>180013.96514096376</v>
      </c>
      <c r="E146" s="356">
        <v>3946.7824667857108</v>
      </c>
      <c r="F146" s="356">
        <v>474.17348562944335</v>
      </c>
      <c r="G146" s="356">
        <v>3.1192988951160138E-2</v>
      </c>
    </row>
    <row r="148" spans="2:8">
      <c r="B148" s="476">
        <v>3008.5635475550698</v>
      </c>
      <c r="C148" s="476">
        <v>3008.5635475550698</v>
      </c>
      <c r="D148" s="476">
        <v>254.09332289792343</v>
      </c>
      <c r="E148" s="476">
        <v>245767.44746857084</v>
      </c>
      <c r="F148" s="476">
        <v>4460.3116955593869</v>
      </c>
      <c r="G148" s="476">
        <v>2088.1596974403742</v>
      </c>
      <c r="H148" s="476">
        <v>0.53520458329574871</v>
      </c>
    </row>
    <row r="149" spans="2:8">
      <c r="B149" s="476">
        <v>254.09332289792343</v>
      </c>
    </row>
    <row r="150" spans="2:8">
      <c r="B150" s="476">
        <v>245767.44746857084</v>
      </c>
    </row>
    <row r="151" spans="2:8">
      <c r="B151" s="476">
        <v>4460.3116955593869</v>
      </c>
    </row>
    <row r="152" spans="2:8">
      <c r="B152" s="476">
        <v>2088.1596974403742</v>
      </c>
    </row>
    <row r="153" spans="2:8">
      <c r="B153" s="476">
        <v>0.53520458329574871</v>
      </c>
    </row>
    <row r="979" spans="1:15">
      <c r="A979" t="s">
        <v>330</v>
      </c>
      <c r="C979" s="30" t="e">
        <f>#REF!/0.8</f>
        <v>#REF!</v>
      </c>
      <c r="D979" t="s">
        <v>18</v>
      </c>
    </row>
    <row r="980" spans="1:15">
      <c r="A980" t="s">
        <v>369</v>
      </c>
      <c r="C980" s="30">
        <v>279956</v>
      </c>
      <c r="D980" t="s">
        <v>342</v>
      </c>
      <c r="L980" s="30" t="e">
        <f>#REF!</f>
        <v>#REF!</v>
      </c>
      <c r="M980" t="s">
        <v>332</v>
      </c>
      <c r="N980">
        <f>34.5</f>
        <v>34.5</v>
      </c>
      <c r="O980" t="s">
        <v>333</v>
      </c>
    </row>
    <row r="981" spans="1:15">
      <c r="A981" t="s">
        <v>370</v>
      </c>
      <c r="C981" s="30">
        <f>21071+1029+508+83+4230</f>
        <v>26921</v>
      </c>
      <c r="D981" t="s">
        <v>342</v>
      </c>
      <c r="M981" t="s">
        <v>331</v>
      </c>
      <c r="N981" s="30" t="e">
        <f>L980*N980/1000</f>
        <v>#REF!</v>
      </c>
      <c r="O981" t="s">
        <v>18</v>
      </c>
    </row>
    <row r="982" spans="1:15">
      <c r="C982" s="30"/>
    </row>
    <row r="983" spans="1:15">
      <c r="C983" s="30"/>
    </row>
    <row r="984" spans="1:15">
      <c r="C984" s="30" t="e">
        <f>C979-N981-C980</f>
        <v>#REF!</v>
      </c>
      <c r="D984" t="s">
        <v>342</v>
      </c>
      <c r="M984" s="311" t="e">
        <f>N981/C979</f>
        <v>#REF!</v>
      </c>
    </row>
    <row r="986" spans="1:15">
      <c r="A986" s="357" t="e">
        <f>C984*1000</f>
        <v>#REF!</v>
      </c>
      <c r="B986" s="357" t="s">
        <v>343</v>
      </c>
    </row>
    <row r="988" spans="1:15">
      <c r="A988">
        <f>24</f>
        <v>24</v>
      </c>
      <c r="L988" s="178"/>
      <c r="M988" s="178"/>
    </row>
    <row r="989" spans="1:15">
      <c r="L989" s="178"/>
      <c r="M989" s="178"/>
    </row>
    <row r="990" spans="1:15">
      <c r="A990" t="e">
        <f>A986/A988</f>
        <v>#REF!</v>
      </c>
      <c r="B990" t="s">
        <v>344</v>
      </c>
      <c r="L990" s="178"/>
      <c r="M990" s="178"/>
    </row>
    <row r="991" spans="1:15">
      <c r="A991" s="357" t="e">
        <f>A990/1000</f>
        <v>#REF!</v>
      </c>
      <c r="B991" s="357" t="s">
        <v>345</v>
      </c>
    </row>
    <row r="992" spans="1:15">
      <c r="L992" s="357" t="s">
        <v>346</v>
      </c>
      <c r="M992" s="79"/>
    </row>
    <row r="993" spans="1:13">
      <c r="C993" s="311">
        <v>0.1</v>
      </c>
      <c r="L993" s="357">
        <f>0.65*0.92*0.8*0.95</f>
        <v>0.45448000000000005</v>
      </c>
    </row>
    <row r="994" spans="1:13">
      <c r="A994" t="s">
        <v>371</v>
      </c>
      <c r="C994" s="311" t="s">
        <v>372</v>
      </c>
      <c r="D994" t="s">
        <v>373</v>
      </c>
    </row>
    <row r="995" spans="1:13">
      <c r="L995" s="357" t="s">
        <v>347</v>
      </c>
    </row>
    <row r="996" spans="1:13" ht="15.75">
      <c r="A996" t="s">
        <v>361</v>
      </c>
      <c r="B996">
        <f>16*0.6</f>
        <v>9.6</v>
      </c>
      <c r="L996" s="357">
        <f>1-(1-0.79)*2*(SQRT(0.23))</f>
        <v>0.79857507602086586</v>
      </c>
    </row>
    <row r="997" spans="1:13" ht="15.75">
      <c r="A997" t="s">
        <v>362</v>
      </c>
      <c r="B997">
        <v>4</v>
      </c>
    </row>
    <row r="998" spans="1:13" ht="15.75">
      <c r="A998" t="s">
        <v>351</v>
      </c>
      <c r="B998">
        <v>2100</v>
      </c>
    </row>
    <row r="999" spans="1:13">
      <c r="A999" t="s">
        <v>353</v>
      </c>
      <c r="B999">
        <f>2*C993</f>
        <v>0.2</v>
      </c>
    </row>
    <row r="1000" spans="1:13">
      <c r="A1000" t="s">
        <v>354</v>
      </c>
      <c r="B1000">
        <v>10</v>
      </c>
    </row>
    <row r="1001" spans="1:13">
      <c r="A1001" t="s">
        <v>355</v>
      </c>
      <c r="B1001">
        <f>0.004*C993</f>
        <v>4.0000000000000002E-4</v>
      </c>
    </row>
    <row r="1002" spans="1:13">
      <c r="A1002" t="s">
        <v>357</v>
      </c>
    </row>
    <row r="1003" spans="1:13">
      <c r="A1003" s="357" t="s">
        <v>358</v>
      </c>
      <c r="B1003" s="357"/>
      <c r="C1003" s="357"/>
      <c r="D1003" s="357"/>
      <c r="E1003" s="357"/>
      <c r="F1003" s="357"/>
      <c r="G1003" s="357"/>
      <c r="H1003" s="357"/>
    </row>
    <row r="1004" spans="1:13">
      <c r="A1004" s="357"/>
      <c r="B1004" s="357"/>
      <c r="C1004" s="357"/>
      <c r="D1004" s="357"/>
      <c r="E1004" s="357"/>
      <c r="F1004" s="357"/>
      <c r="G1004" s="357"/>
      <c r="H1004" s="357"/>
      <c r="M1004" t="s">
        <v>220</v>
      </c>
    </row>
    <row r="1005" spans="1:13" ht="15.75">
      <c r="A1005" s="357" t="s">
        <v>361</v>
      </c>
      <c r="B1005" s="357" t="e">
        <f>9.6*A991</f>
        <v>#REF!</v>
      </c>
      <c r="C1005" s="357"/>
      <c r="D1005" s="357" t="e">
        <f t="shared" ref="D1005:D1010" si="17">B1005/1000</f>
        <v>#REF!</v>
      </c>
      <c r="E1005" s="357" t="s">
        <v>345</v>
      </c>
      <c r="F1005" s="357"/>
      <c r="G1005" s="357"/>
      <c r="H1005" s="357"/>
      <c r="J1005" t="s">
        <v>344</v>
      </c>
      <c r="K1005">
        <f t="shared" ref="K1005:K1010" si="18">I1005/1000</f>
        <v>0</v>
      </c>
      <c r="L1005" t="s">
        <v>345</v>
      </c>
      <c r="M1005" s="375" t="e">
        <f>D1005-K1005</f>
        <v>#REF!</v>
      </c>
    </row>
    <row r="1006" spans="1:13" ht="15.75">
      <c r="A1006" s="357" t="s">
        <v>362</v>
      </c>
      <c r="B1006" s="357" t="e">
        <f>B997*A991</f>
        <v>#REF!</v>
      </c>
      <c r="C1006" s="357"/>
      <c r="D1006" s="357" t="e">
        <f t="shared" si="17"/>
        <v>#REF!</v>
      </c>
      <c r="E1006" s="357" t="s">
        <v>345</v>
      </c>
      <c r="F1006" s="357"/>
      <c r="G1006" s="357"/>
      <c r="H1006" s="357"/>
      <c r="K1006">
        <f t="shared" si="18"/>
        <v>0</v>
      </c>
      <c r="L1006" t="s">
        <v>345</v>
      </c>
      <c r="M1006" s="375" t="e">
        <f>D1006+L1018</f>
        <v>#REF!</v>
      </c>
    </row>
    <row r="1007" spans="1:13" ht="15.75">
      <c r="A1007" s="357" t="s">
        <v>351</v>
      </c>
      <c r="B1007" s="357" t="e">
        <f>B998*A991</f>
        <v>#REF!</v>
      </c>
      <c r="C1007" s="357"/>
      <c r="D1007" s="357" t="e">
        <f t="shared" si="17"/>
        <v>#REF!</v>
      </c>
      <c r="E1007" s="357" t="s">
        <v>345</v>
      </c>
      <c r="F1007" s="357"/>
      <c r="G1007" s="357"/>
      <c r="H1007" s="357"/>
      <c r="K1007">
        <f t="shared" si="18"/>
        <v>0</v>
      </c>
      <c r="L1007" t="s">
        <v>345</v>
      </c>
      <c r="M1007" s="375" t="e">
        <f>D1007+L1019</f>
        <v>#REF!</v>
      </c>
    </row>
    <row r="1008" spans="1:13">
      <c r="A1008" s="357" t="s">
        <v>353</v>
      </c>
      <c r="B1008" s="357" t="e">
        <f>B999*A991</f>
        <v>#REF!</v>
      </c>
      <c r="C1008" s="357"/>
      <c r="D1008" s="357" t="e">
        <f t="shared" si="17"/>
        <v>#REF!</v>
      </c>
      <c r="E1008" s="357" t="s">
        <v>345</v>
      </c>
      <c r="F1008" s="357"/>
      <c r="G1008" s="357"/>
      <c r="H1008" s="357"/>
      <c r="K1008">
        <f t="shared" si="18"/>
        <v>0</v>
      </c>
      <c r="L1008" t="s">
        <v>345</v>
      </c>
      <c r="M1008" s="375" t="e">
        <f>D1008+L1021</f>
        <v>#REF!</v>
      </c>
    </row>
    <row r="1009" spans="1:13">
      <c r="A1009" s="357" t="s">
        <v>363</v>
      </c>
      <c r="B1009" t="e">
        <f>A991*B1000</f>
        <v>#REF!</v>
      </c>
      <c r="D1009" s="357" t="e">
        <f t="shared" si="17"/>
        <v>#REF!</v>
      </c>
      <c r="E1009" s="357" t="s">
        <v>345</v>
      </c>
      <c r="F1009" s="357"/>
      <c r="G1009" s="357"/>
      <c r="H1009" s="357"/>
      <c r="K1009">
        <f t="shared" si="18"/>
        <v>0</v>
      </c>
      <c r="L1009" t="s">
        <v>345</v>
      </c>
      <c r="M1009" s="375" t="e">
        <f>D1009+L1019</f>
        <v>#REF!</v>
      </c>
    </row>
    <row r="1010" spans="1:13">
      <c r="A1010" s="357" t="s">
        <v>355</v>
      </c>
      <c r="B1010" t="e">
        <f>B1001*A991</f>
        <v>#REF!</v>
      </c>
      <c r="D1010" s="357" t="e">
        <f t="shared" si="17"/>
        <v>#REF!</v>
      </c>
      <c r="E1010" s="357" t="s">
        <v>345</v>
      </c>
      <c r="F1010" s="357"/>
      <c r="G1010" s="357"/>
      <c r="H1010" s="357"/>
      <c r="K1010">
        <f t="shared" si="18"/>
        <v>0</v>
      </c>
      <c r="L1010" t="s">
        <v>345</v>
      </c>
      <c r="M1010" s="375" t="e">
        <f>D1010-K1010</f>
        <v>#REF!</v>
      </c>
    </row>
    <row r="1012" spans="1:13">
      <c r="B1012" s="357" t="s">
        <v>374</v>
      </c>
    </row>
    <row r="1014" spans="1:13">
      <c r="I1014" s="357"/>
      <c r="J1014" s="357"/>
      <c r="K1014" s="357"/>
      <c r="L1014" s="357"/>
    </row>
    <row r="1015" spans="1:13" ht="14.25">
      <c r="A1015" s="357" t="s">
        <v>375</v>
      </c>
      <c r="B1015" s="357" t="e">
        <f>L980*10^(-6)</f>
        <v>#REF!</v>
      </c>
    </row>
    <row r="1016" spans="1:13">
      <c r="J1016" s="357">
        <f>2*0</f>
        <v>0</v>
      </c>
      <c r="K1016" s="357" t="s">
        <v>344</v>
      </c>
    </row>
    <row r="1017" spans="1:13">
      <c r="B1017" t="s">
        <v>376</v>
      </c>
      <c r="C1017" t="s">
        <v>377</v>
      </c>
      <c r="J1017" s="357" t="e">
        <f>$B$85*#REF!</f>
        <v>#REF!</v>
      </c>
      <c r="K1017" s="357" t="s">
        <v>344</v>
      </c>
      <c r="L1017" t="e">
        <f>J1017/1000</f>
        <v>#REF!</v>
      </c>
      <c r="M1017" t="s">
        <v>345</v>
      </c>
    </row>
    <row r="1018" spans="1:13">
      <c r="B1018" t="s">
        <v>378</v>
      </c>
      <c r="C1018" t="s">
        <v>379</v>
      </c>
      <c r="J1018" s="357" t="e">
        <f>$B$85*#REF!</f>
        <v>#REF!</v>
      </c>
      <c r="K1018" s="357" t="s">
        <v>344</v>
      </c>
      <c r="L1018" t="e">
        <f>J1018/1000</f>
        <v>#REF!</v>
      </c>
    </row>
    <row r="1019" spans="1:13">
      <c r="B1019" t="s">
        <v>363</v>
      </c>
      <c r="C1019" t="s">
        <v>380</v>
      </c>
      <c r="J1019" s="357" t="e">
        <f>$B$85*#REF!</f>
        <v>#REF!</v>
      </c>
      <c r="K1019" s="357" t="s">
        <v>344</v>
      </c>
      <c r="L1019" t="e">
        <f>J1019/1000</f>
        <v>#REF!</v>
      </c>
    </row>
    <row r="1020" spans="1:13">
      <c r="B1020" t="s">
        <v>381</v>
      </c>
      <c r="C1020" t="s">
        <v>382</v>
      </c>
      <c r="J1020" s="357" t="e">
        <f>$B$85*#REF!</f>
        <v>#REF!</v>
      </c>
      <c r="K1020" s="357" t="s">
        <v>344</v>
      </c>
      <c r="L1020" t="e">
        <f>J1020/1000</f>
        <v>#REF!</v>
      </c>
    </row>
  </sheetData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8434" r:id="rId4">
          <objectPr defaultSize="0" autoPict="0" r:id="rId5">
            <anchor moveWithCells="1">
              <from>
                <xdr:col>1</xdr:col>
                <xdr:colOff>85725</xdr:colOff>
                <xdr:row>986</xdr:row>
                <xdr:rowOff>123825</xdr:rowOff>
              </from>
              <to>
                <xdr:col>1</xdr:col>
                <xdr:colOff>609600</xdr:colOff>
                <xdr:row>988</xdr:row>
                <xdr:rowOff>76200</xdr:rowOff>
              </to>
            </anchor>
          </objectPr>
        </oleObject>
      </mc:Choice>
      <mc:Fallback>
        <oleObject progId="Equation.3" shapeId="18434" r:id="rId4"/>
      </mc:Fallback>
    </mc:AlternateContent>
    <mc:AlternateContent xmlns:mc="http://schemas.openxmlformats.org/markup-compatibility/2006">
      <mc:Choice Requires="x14">
        <oleObject progId="Equation.3" shapeId="18435" r:id="rId6">
          <objectPr defaultSize="0" autoPict="0" r:id="rId7">
            <anchor moveWithCells="1">
              <from>
                <xdr:col>2</xdr:col>
                <xdr:colOff>0</xdr:colOff>
                <xdr:row>985</xdr:row>
                <xdr:rowOff>57150</xdr:rowOff>
              </from>
              <to>
                <xdr:col>3</xdr:col>
                <xdr:colOff>180975</xdr:colOff>
                <xdr:row>990</xdr:row>
                <xdr:rowOff>47625</xdr:rowOff>
              </to>
            </anchor>
          </objectPr>
        </oleObject>
      </mc:Choice>
      <mc:Fallback>
        <oleObject progId="Equation.3" shapeId="18435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4"/>
  <sheetViews>
    <sheetView workbookViewId="0">
      <selection activeCell="E9" sqref="E9"/>
    </sheetView>
  </sheetViews>
  <sheetFormatPr defaultColWidth="9.140625" defaultRowHeight="12.75"/>
  <cols>
    <col min="1" max="3" width="9.140625" style="79"/>
    <col min="4" max="13" width="15.5703125" style="79" customWidth="1"/>
    <col min="14" max="14" width="11.5703125" style="79" customWidth="1"/>
    <col min="15" max="15" width="9.140625" style="79"/>
    <col min="16" max="16" width="9.7109375" style="79" bestFit="1" customWidth="1"/>
    <col min="17" max="17" width="9.7109375" style="79" customWidth="1"/>
    <col min="18" max="18" width="9.7109375" style="79" bestFit="1" customWidth="1"/>
    <col min="19" max="19" width="9.140625" style="79"/>
    <col min="20" max="20" width="11.85546875" style="79" customWidth="1"/>
    <col min="21" max="21" width="9.140625" style="79"/>
    <col min="22" max="23" width="10.42578125" style="79" customWidth="1"/>
    <col min="24" max="24" width="10.28515625" style="79" customWidth="1"/>
    <col min="25" max="25" width="12.85546875" style="79" customWidth="1"/>
    <col min="26" max="26" width="14.85546875" style="79" customWidth="1"/>
    <col min="27" max="27" width="26.85546875" style="79" customWidth="1"/>
    <col min="28" max="16384" width="9.140625" style="79"/>
  </cols>
  <sheetData>
    <row r="1" spans="1:30" ht="15.75">
      <c r="H1" s="79" t="s">
        <v>18</v>
      </c>
      <c r="S1" s="152">
        <v>65876</v>
      </c>
      <c r="T1" s="152">
        <v>31040</v>
      </c>
      <c r="X1" s="79">
        <f>132500/614000</f>
        <v>0.21579804560260588</v>
      </c>
    </row>
    <row r="2" spans="1:30" ht="15.75">
      <c r="H2" s="79">
        <f>I2*I3*I4</f>
        <v>499.8</v>
      </c>
      <c r="I2" s="79">
        <v>42</v>
      </c>
      <c r="J2" s="84" t="s">
        <v>237</v>
      </c>
      <c r="N2" s="84" t="s">
        <v>62</v>
      </c>
      <c r="O2" s="79">
        <f>285600/2.6</f>
        <v>109846.15384615384</v>
      </c>
      <c r="S2" s="152">
        <v>24236</v>
      </c>
      <c r="T2" s="152">
        <v>11420</v>
      </c>
      <c r="Y2" s="84" t="s">
        <v>64</v>
      </c>
      <c r="AA2" s="79">
        <f>AC7*1.25</f>
        <v>0</v>
      </c>
      <c r="AB2" s="79">
        <f>AC7-AA2</f>
        <v>0</v>
      </c>
      <c r="AC2" s="79">
        <f>AB2/9000</f>
        <v>0</v>
      </c>
    </row>
    <row r="3" spans="1:30" ht="15.75">
      <c r="H3" s="79">
        <f>H2*0.7</f>
        <v>349.86</v>
      </c>
      <c r="I3" s="79">
        <v>14</v>
      </c>
      <c r="J3" s="79" t="s">
        <v>238</v>
      </c>
      <c r="N3" s="84" t="s">
        <v>63</v>
      </c>
      <c r="O3" s="153">
        <f>130170/3</f>
        <v>43390</v>
      </c>
    </row>
    <row r="4" spans="1:30">
      <c r="A4" s="170" t="s">
        <v>233</v>
      </c>
      <c r="C4" s="216" t="s">
        <v>236</v>
      </c>
      <c r="D4" s="217"/>
      <c r="E4" s="217"/>
      <c r="F4" s="217"/>
      <c r="I4" s="79">
        <v>0.85</v>
      </c>
      <c r="J4" s="79" t="s">
        <v>239</v>
      </c>
      <c r="O4" s="79">
        <f>SUM(O2:O3)</f>
        <v>153236.15384615384</v>
      </c>
      <c r="P4" s="79">
        <f>O4/W7</f>
        <v>1.4103401248778832E-3</v>
      </c>
    </row>
    <row r="5" spans="1:30">
      <c r="A5" s="84" t="s">
        <v>234</v>
      </c>
      <c r="C5" s="216" t="s">
        <v>235</v>
      </c>
      <c r="D5" s="217"/>
      <c r="E5" s="217"/>
      <c r="F5" s="217"/>
      <c r="Y5" s="79" t="e">
        <f>X7*0.3</f>
        <v>#REF!</v>
      </c>
      <c r="AA5" s="84" t="s">
        <v>61</v>
      </c>
    </row>
    <row r="6" spans="1:30">
      <c r="W6" s="79" t="s">
        <v>51</v>
      </c>
      <c r="X6" s="84" t="s">
        <v>44</v>
      </c>
      <c r="Y6" s="84" t="s">
        <v>46</v>
      </c>
      <c r="Z6" s="84" t="s">
        <v>59</v>
      </c>
      <c r="AA6" s="84" t="s">
        <v>205</v>
      </c>
      <c r="AB6" s="84" t="s">
        <v>52</v>
      </c>
    </row>
    <row r="7" spans="1:30">
      <c r="A7" s="144">
        <v>1</v>
      </c>
      <c r="B7" s="145"/>
      <c r="C7" s="145"/>
      <c r="D7" s="145">
        <v>2</v>
      </c>
      <c r="E7" s="146"/>
      <c r="F7" s="146"/>
      <c r="G7" s="146"/>
      <c r="H7" s="146"/>
      <c r="I7" s="146"/>
      <c r="J7" s="146"/>
      <c r="K7" s="146"/>
      <c r="L7" s="146"/>
      <c r="M7" s="146"/>
      <c r="N7" s="1038">
        <v>3</v>
      </c>
      <c r="O7" s="1039"/>
      <c r="P7" s="145">
        <v>4</v>
      </c>
      <c r="Q7" s="154"/>
      <c r="S7" s="84" t="s">
        <v>45</v>
      </c>
      <c r="U7" s="84" t="s">
        <v>43</v>
      </c>
      <c r="W7" s="39">
        <f>82312056*1.2*1.1</f>
        <v>108651913.92000002</v>
      </c>
      <c r="X7" s="155" t="e">
        <f>P10*W7*0.0036</f>
        <v>#REF!</v>
      </c>
      <c r="Y7" s="39"/>
      <c r="Z7" s="39"/>
      <c r="AA7" s="156" t="e">
        <f>(Z7+Y7+X7)/0.8</f>
        <v>#REF!</v>
      </c>
      <c r="AB7" s="79">
        <f>AA33/0.7</f>
        <v>0</v>
      </c>
      <c r="AC7" s="79">
        <f>AB7-AB7*0.1</f>
        <v>0</v>
      </c>
      <c r="AD7" s="84" t="s">
        <v>29</v>
      </c>
    </row>
    <row r="8" spans="1:30">
      <c r="A8" s="1040" t="s">
        <v>7</v>
      </c>
      <c r="B8" s="157"/>
      <c r="C8" s="157"/>
      <c r="D8" s="1042" t="s">
        <v>206</v>
      </c>
      <c r="E8" s="158" t="s">
        <v>207</v>
      </c>
      <c r="F8" s="158"/>
      <c r="G8" s="158"/>
      <c r="H8" s="158"/>
      <c r="I8" s="158"/>
      <c r="J8" s="158"/>
      <c r="K8" s="158"/>
      <c r="L8" s="158"/>
      <c r="M8" s="1044" t="s">
        <v>38</v>
      </c>
      <c r="N8" s="1044" t="s">
        <v>9</v>
      </c>
      <c r="O8" s="1044"/>
      <c r="P8" s="1036" t="s">
        <v>10</v>
      </c>
      <c r="Q8" s="159"/>
      <c r="S8" s="84" t="s">
        <v>35</v>
      </c>
      <c r="V8" s="84" t="s">
        <v>64</v>
      </c>
      <c r="W8" s="79">
        <f>W7*0.25</f>
        <v>27162978.480000004</v>
      </c>
      <c r="X8" s="79" t="e">
        <f>W8*D14*0.0036</f>
        <v>#REF!</v>
      </c>
      <c r="Y8" s="79" t="e">
        <f>X8*1.3</f>
        <v>#REF!</v>
      </c>
      <c r="Z8" s="79" t="e">
        <f>Y8+35000</f>
        <v>#REF!</v>
      </c>
      <c r="AA8" s="79" t="e">
        <f>Z8/0.75</f>
        <v>#REF!</v>
      </c>
      <c r="AB8" s="79">
        <f>W8/0.7</f>
        <v>38804254.971428581</v>
      </c>
      <c r="AC8" s="79">
        <f>AB8-AB8*0.1</f>
        <v>34923829.474285722</v>
      </c>
      <c r="AD8" s="79">
        <f>AC8/9000</f>
        <v>3880.4254971428581</v>
      </c>
    </row>
    <row r="9" spans="1:30" ht="39" customHeight="1">
      <c r="A9" s="1041"/>
      <c r="B9" s="160"/>
      <c r="C9" s="160" t="s">
        <v>208</v>
      </c>
      <c r="D9" s="1043"/>
      <c r="E9" s="158"/>
      <c r="F9" s="161" t="s">
        <v>209</v>
      </c>
      <c r="G9" s="158" t="s">
        <v>210</v>
      </c>
      <c r="H9" s="162" t="s">
        <v>211</v>
      </c>
      <c r="I9" s="162" t="s">
        <v>212</v>
      </c>
      <c r="J9" s="158" t="s">
        <v>213</v>
      </c>
      <c r="K9" s="158" t="s">
        <v>214</v>
      </c>
      <c r="L9" s="158" t="s">
        <v>215</v>
      </c>
      <c r="M9" s="1044"/>
      <c r="N9" s="1044"/>
      <c r="O9" s="1044"/>
      <c r="P9" s="1037"/>
      <c r="Q9" s="159"/>
      <c r="W9" s="79">
        <f>V27</f>
        <v>0</v>
      </c>
      <c r="X9" s="79">
        <f>P12*W9*0.0036</f>
        <v>0</v>
      </c>
      <c r="Y9" s="79">
        <f>X9*1.3</f>
        <v>0</v>
      </c>
      <c r="Z9" s="79">
        <f>Y9+35000</f>
        <v>35000</v>
      </c>
      <c r="AA9" s="79">
        <f>Z9/0.75</f>
        <v>46666.666666666664</v>
      </c>
      <c r="AB9" s="79">
        <f>AA35/0.7</f>
        <v>0</v>
      </c>
      <c r="AC9" s="79">
        <f>AB9-AB9*0.1</f>
        <v>0</v>
      </c>
    </row>
    <row r="10" spans="1:30">
      <c r="A10" s="147" t="s">
        <v>11</v>
      </c>
      <c r="B10" s="147"/>
      <c r="C10" s="163">
        <v>0</v>
      </c>
      <c r="D10" s="164" t="e">
        <f>#REF!</f>
        <v>#REF!</v>
      </c>
      <c r="E10" s="148">
        <v>90</v>
      </c>
      <c r="F10" s="165" t="e">
        <f>F19*$F$16</f>
        <v>#REF!</v>
      </c>
      <c r="G10" s="166" t="e">
        <f>(1-C10)*F10</f>
        <v>#REF!</v>
      </c>
      <c r="H10" s="162" t="e">
        <f t="shared" ref="H10:H15" si="0">C10*F10</f>
        <v>#REF!</v>
      </c>
      <c r="I10" s="167" t="e">
        <f>C10*E10+(1-C10)*D10</f>
        <v>#REF!</v>
      </c>
      <c r="J10" s="162" t="e">
        <f>G10*D10*0.0036</f>
        <v>#REF!</v>
      </c>
      <c r="K10" s="162" t="e">
        <f>H10*E10*0.0036</f>
        <v>#REF!</v>
      </c>
      <c r="L10" s="162" t="e">
        <f>J10/0.7+K10/0.9</f>
        <v>#REF!</v>
      </c>
      <c r="M10" s="148" t="s">
        <v>57</v>
      </c>
      <c r="N10" s="1047" t="e">
        <f t="shared" ref="N10:N15" si="1">F10/$F$16</f>
        <v>#REF!</v>
      </c>
      <c r="O10" s="1047">
        <v>0.21750000000000003</v>
      </c>
      <c r="P10" s="1048" t="e">
        <f>(I10+I11+I12+I13+I14+I15)/6</f>
        <v>#REF!</v>
      </c>
      <c r="Q10" s="168">
        <f>D19/1.3</f>
        <v>0.16730769230769232</v>
      </c>
      <c r="R10" s="79" t="e">
        <f t="shared" ref="R10:R15" si="2">D10*Q10</f>
        <v>#REF!</v>
      </c>
      <c r="S10" s="84" t="s">
        <v>30</v>
      </c>
      <c r="W10" s="79">
        <f>W7*1.39</f>
        <v>151026160.3488</v>
      </c>
      <c r="AA10" s="79">
        <f>Z10*1.1</f>
        <v>0</v>
      </c>
    </row>
    <row r="11" spans="1:30" ht="25.5">
      <c r="A11" s="148" t="s">
        <v>12</v>
      </c>
      <c r="B11" s="149"/>
      <c r="C11" s="169">
        <v>0</v>
      </c>
      <c r="D11" s="164" t="e">
        <f>#REF!</f>
        <v>#REF!</v>
      </c>
      <c r="E11" s="148">
        <v>90</v>
      </c>
      <c r="F11" s="165" t="e">
        <f>F20*$F$16</f>
        <v>#REF!</v>
      </c>
      <c r="G11" s="166" t="e">
        <f>(1-C11)*F11</f>
        <v>#REF!</v>
      </c>
      <c r="H11" s="162" t="e">
        <f t="shared" si="0"/>
        <v>#REF!</v>
      </c>
      <c r="I11" s="167" t="e">
        <f>C11*E11+(1-C11)*D11</f>
        <v>#REF!</v>
      </c>
      <c r="J11" s="162" t="e">
        <f t="shared" ref="J11:K15" si="3">G11*D11*0.0036</f>
        <v>#REF!</v>
      </c>
      <c r="K11" s="162" t="e">
        <f t="shared" si="3"/>
        <v>#REF!</v>
      </c>
      <c r="L11" s="162" t="e">
        <f>J11/0.7+K11/0.9</f>
        <v>#REF!</v>
      </c>
      <c r="M11" s="148" t="s">
        <v>39</v>
      </c>
      <c r="N11" s="1047" t="e">
        <f t="shared" si="1"/>
        <v>#REF!</v>
      </c>
      <c r="O11" s="1047">
        <v>1.2175</v>
      </c>
      <c r="P11" s="1049"/>
      <c r="Q11" s="168">
        <f>D20/1.3</f>
        <v>0.15040384615384617</v>
      </c>
      <c r="R11" s="79" t="e">
        <f t="shared" si="2"/>
        <v>#REF!</v>
      </c>
      <c r="S11" s="84" t="s">
        <v>36</v>
      </c>
      <c r="T11" s="79">
        <v>1.3</v>
      </c>
      <c r="U11" s="79" t="e">
        <f>N11*T11</f>
        <v>#REF!</v>
      </c>
      <c r="V11" s="79" t="e">
        <f>$W$7*U11</f>
        <v>#REF!</v>
      </c>
      <c r="Y11" s="170" t="s">
        <v>216</v>
      </c>
      <c r="Z11" s="156" t="e">
        <f>AA7/1.05</f>
        <v>#REF!</v>
      </c>
      <c r="AA11" s="79" t="e">
        <f>Z11*1.1</f>
        <v>#REF!</v>
      </c>
    </row>
    <row r="12" spans="1:30" ht="25.5">
      <c r="A12" s="150" t="s">
        <v>13</v>
      </c>
      <c r="B12" s="150"/>
      <c r="C12" s="171">
        <v>0</v>
      </c>
      <c r="D12" s="164" t="e">
        <f>#REF!</f>
        <v>#REF!</v>
      </c>
      <c r="E12" s="148">
        <v>90</v>
      </c>
      <c r="F12" s="165" t="e">
        <f>F21*$F$16</f>
        <v>#REF!</v>
      </c>
      <c r="G12" s="166" t="e">
        <f>(1-C12)*F12</f>
        <v>#REF!</v>
      </c>
      <c r="H12" s="162" t="e">
        <f t="shared" si="0"/>
        <v>#REF!</v>
      </c>
      <c r="I12" s="167" t="e">
        <f>C12*E12+(1-C12)*D12</f>
        <v>#REF!</v>
      </c>
      <c r="J12" s="162" t="e">
        <f t="shared" si="3"/>
        <v>#REF!</v>
      </c>
      <c r="K12" s="162" t="e">
        <f t="shared" si="3"/>
        <v>#REF!</v>
      </c>
      <c r="L12" s="162" t="e">
        <f>J12/0.7+K12/0.9</f>
        <v>#REF!</v>
      </c>
      <c r="M12" s="148" t="s">
        <v>40</v>
      </c>
      <c r="N12" s="1047" t="e">
        <f t="shared" si="1"/>
        <v>#REF!</v>
      </c>
      <c r="O12" s="1047">
        <v>2.2174999999999998</v>
      </c>
      <c r="P12" s="1049"/>
      <c r="Q12" s="168">
        <f>D21/1.3</f>
        <v>0.10063461538461538</v>
      </c>
      <c r="R12" s="79" t="e">
        <f t="shared" si="2"/>
        <v>#REF!</v>
      </c>
      <c r="S12" s="84" t="s">
        <v>32</v>
      </c>
      <c r="T12" s="79">
        <v>1</v>
      </c>
      <c r="U12" s="79" t="e">
        <f>N12*T12</f>
        <v>#REF!</v>
      </c>
      <c r="V12" s="79" t="e">
        <f>$W$7*U12</f>
        <v>#REF!</v>
      </c>
      <c r="AA12" s="79">
        <f>Z12*1.1</f>
        <v>0</v>
      </c>
    </row>
    <row r="13" spans="1:30" ht="25.5">
      <c r="A13" s="150" t="s">
        <v>217</v>
      </c>
      <c r="B13" s="150"/>
      <c r="C13" s="171">
        <v>0</v>
      </c>
      <c r="D13" s="164" t="e">
        <f>#REF!</f>
        <v>#REF!</v>
      </c>
      <c r="E13" s="148">
        <v>90</v>
      </c>
      <c r="F13" s="165" t="e">
        <f>F22*$F$16</f>
        <v>#REF!</v>
      </c>
      <c r="G13" s="166" t="e">
        <f>(1-C13)*F13</f>
        <v>#REF!</v>
      </c>
      <c r="H13" s="162" t="e">
        <f t="shared" si="0"/>
        <v>#REF!</v>
      </c>
      <c r="I13" s="167" t="e">
        <f>C13*E13+(1-C13)*D13</f>
        <v>#REF!</v>
      </c>
      <c r="J13" s="162" t="e">
        <f t="shared" si="3"/>
        <v>#REF!</v>
      </c>
      <c r="K13" s="162" t="e">
        <f>H13*E13*0.0036</f>
        <v>#REF!</v>
      </c>
      <c r="L13" s="162" t="e">
        <f>J13/0.7+K13/0.9</f>
        <v>#REF!</v>
      </c>
      <c r="M13" s="148" t="s">
        <v>41</v>
      </c>
      <c r="N13" s="1047" t="e">
        <f t="shared" si="1"/>
        <v>#REF!</v>
      </c>
      <c r="O13" s="1047">
        <v>3.2174999999999998</v>
      </c>
      <c r="P13" s="1049"/>
      <c r="Q13" s="168">
        <f>D22/1.3</f>
        <v>9.1730769230769227E-2</v>
      </c>
      <c r="R13" s="79" t="e">
        <f t="shared" si="2"/>
        <v>#REF!</v>
      </c>
      <c r="S13" s="84" t="s">
        <v>33</v>
      </c>
      <c r="T13" s="79">
        <v>0.8</v>
      </c>
      <c r="U13" s="79" t="e">
        <f>N13*T13</f>
        <v>#REF!</v>
      </c>
      <c r="V13" s="79" t="e">
        <f>$W$7*U13</f>
        <v>#REF!</v>
      </c>
      <c r="Z13" s="79" t="e">
        <f>70400+X7+45000</f>
        <v>#REF!</v>
      </c>
      <c r="AA13" s="79" t="e">
        <f>Z13*1.1</f>
        <v>#REF!</v>
      </c>
      <c r="AB13" s="79" t="s">
        <v>47</v>
      </c>
    </row>
    <row r="14" spans="1:30" ht="15">
      <c r="A14" s="150" t="s">
        <v>15</v>
      </c>
      <c r="B14" s="150"/>
      <c r="C14" s="172"/>
      <c r="D14" s="164" t="e">
        <f>#REF!</f>
        <v>#REF!</v>
      </c>
      <c r="E14" s="148"/>
      <c r="F14" s="165" t="e">
        <f>F23*$F$16</f>
        <v>#REF!</v>
      </c>
      <c r="G14" s="166" t="e">
        <f>(1-C14)*F14</f>
        <v>#REF!</v>
      </c>
      <c r="H14" s="162" t="e">
        <f t="shared" si="0"/>
        <v>#REF!</v>
      </c>
      <c r="I14" s="167" t="e">
        <f>C14*E14+(1-C14)*D14</f>
        <v>#REF!</v>
      </c>
      <c r="J14" s="162" t="e">
        <f t="shared" si="3"/>
        <v>#REF!</v>
      </c>
      <c r="K14" s="162" t="e">
        <f t="shared" si="3"/>
        <v>#REF!</v>
      </c>
      <c r="L14" s="162" t="e">
        <f>J14/0.7+K14/0.9</f>
        <v>#REF!</v>
      </c>
      <c r="M14" s="148" t="s">
        <v>42</v>
      </c>
      <c r="N14" s="1047" t="e">
        <f t="shared" si="1"/>
        <v>#REF!</v>
      </c>
      <c r="O14" s="1047">
        <v>4.2175000000000002</v>
      </c>
      <c r="P14" s="1049"/>
      <c r="Q14" s="168">
        <f>D23/1.3</f>
        <v>0.25915384615384612</v>
      </c>
      <c r="R14" s="79" t="e">
        <f t="shared" si="2"/>
        <v>#REF!</v>
      </c>
      <c r="T14" s="79">
        <v>0.35</v>
      </c>
      <c r="U14" s="79" t="e">
        <f>N14*T14</f>
        <v>#REF!</v>
      </c>
      <c r="V14" s="79" t="e">
        <f>$W$7*U14</f>
        <v>#REF!</v>
      </c>
      <c r="AA14" s="40">
        <v>434483.9</v>
      </c>
    </row>
    <row r="15" spans="1:30" ht="25.5">
      <c r="A15" s="10" t="s">
        <v>218</v>
      </c>
      <c r="B15" s="10"/>
      <c r="C15" s="10"/>
      <c r="D15" s="173">
        <v>60</v>
      </c>
      <c r="E15" s="148"/>
      <c r="F15" s="174"/>
      <c r="G15" s="166"/>
      <c r="H15" s="162">
        <f t="shared" si="0"/>
        <v>0</v>
      </c>
      <c r="I15" s="167">
        <v>60</v>
      </c>
      <c r="J15" s="162">
        <f t="shared" si="3"/>
        <v>0</v>
      </c>
      <c r="K15" s="162">
        <f t="shared" si="3"/>
        <v>0</v>
      </c>
      <c r="L15" s="162">
        <f>J15/0.9+K15/0.9</f>
        <v>0</v>
      </c>
      <c r="M15" s="162" t="s">
        <v>219</v>
      </c>
      <c r="N15" s="1047" t="e">
        <f t="shared" si="1"/>
        <v>#REF!</v>
      </c>
      <c r="O15" s="1047">
        <v>5.2175000000000002</v>
      </c>
      <c r="P15" s="1049"/>
      <c r="Q15" s="168">
        <v>0.09</v>
      </c>
      <c r="R15" s="79">
        <f t="shared" si="2"/>
        <v>5.3999999999999995</v>
      </c>
      <c r="S15" s="175">
        <v>0.35</v>
      </c>
      <c r="V15" s="79" t="e">
        <f>SUM(V11:V14)</f>
        <v>#REF!</v>
      </c>
      <c r="X15" s="79" t="e">
        <f>X7/V15</f>
        <v>#REF!</v>
      </c>
      <c r="AA15" s="79">
        <f>AA14*1000</f>
        <v>434483900</v>
      </c>
      <c r="AB15" s="79" t="e">
        <f>AA7/AA15</f>
        <v>#REF!</v>
      </c>
    </row>
    <row r="16" spans="1:30">
      <c r="D16" s="79" t="s">
        <v>220</v>
      </c>
      <c r="E16" s="162"/>
      <c r="F16" s="176" t="e">
        <f>#REF!</f>
        <v>#REF!</v>
      </c>
      <c r="G16" s="162"/>
      <c r="H16" s="162"/>
      <c r="I16" s="162"/>
      <c r="J16" s="177" t="e">
        <f>SUM(J10:J15)</f>
        <v>#REF!</v>
      </c>
      <c r="K16" s="177" t="e">
        <f>SUM(K10:K15)</f>
        <v>#REF!</v>
      </c>
      <c r="L16" s="162" t="e">
        <f>SUM(L10:L15)</f>
        <v>#REF!</v>
      </c>
      <c r="M16" s="162"/>
      <c r="N16" s="1050" t="e">
        <f>N10+N11+N12+N13+N14+N15</f>
        <v>#REF!</v>
      </c>
      <c r="O16" s="1051"/>
      <c r="R16" s="79" t="e">
        <f>SUM(R10:R15)</f>
        <v>#REF!</v>
      </c>
      <c r="S16" s="178">
        <f>S15/1.1</f>
        <v>0.31818181818181812</v>
      </c>
      <c r="AA16" s="79" t="e">
        <f>AA7*0.25</f>
        <v>#REF!</v>
      </c>
    </row>
    <row r="17" spans="4:28">
      <c r="AA17" s="79">
        <v>20000000</v>
      </c>
    </row>
    <row r="18" spans="4:28" ht="15">
      <c r="J18" s="114" t="s">
        <v>221</v>
      </c>
      <c r="K18" s="179" t="e">
        <f>J16+K16</f>
        <v>#REF!</v>
      </c>
      <c r="L18" s="180" t="e">
        <f>L16</f>
        <v>#REF!</v>
      </c>
      <c r="P18" s="79" t="s">
        <v>222</v>
      </c>
      <c r="T18" s="181"/>
      <c r="U18" s="181" t="s">
        <v>223</v>
      </c>
      <c r="V18" s="181"/>
      <c r="W18" s="181"/>
      <c r="Z18" s="113" t="s">
        <v>224</v>
      </c>
      <c r="AA18" s="182">
        <v>17733.400000000001</v>
      </c>
      <c r="AB18" s="79" t="e">
        <f>AA18/AA7</f>
        <v>#REF!</v>
      </c>
    </row>
    <row r="19" spans="4:28" ht="13.5" thickBot="1">
      <c r="D19" s="183">
        <v>0.21750000000000003</v>
      </c>
      <c r="E19" s="183"/>
      <c r="F19" s="1045" t="e">
        <f>#REF!</f>
        <v>#REF!</v>
      </c>
      <c r="G19" s="1046"/>
      <c r="H19" s="183"/>
      <c r="I19" s="183"/>
      <c r="J19" s="183"/>
      <c r="K19" s="183"/>
      <c r="L19" s="183"/>
      <c r="M19" s="183"/>
      <c r="O19" s="84"/>
      <c r="P19" s="79">
        <v>82312056</v>
      </c>
      <c r="Q19" s="79">
        <f>P19*1.2</f>
        <v>98774467.200000003</v>
      </c>
      <c r="R19" s="84"/>
      <c r="T19" s="84" t="s">
        <v>225</v>
      </c>
    </row>
    <row r="20" spans="4:28" ht="13.5" thickBot="1">
      <c r="D20" s="183">
        <v>0.195525</v>
      </c>
      <c r="E20" s="183"/>
      <c r="F20" s="1045" t="e">
        <f>#REF!</f>
        <v>#REF!</v>
      </c>
      <c r="G20" s="1046"/>
      <c r="H20" s="183"/>
      <c r="I20" s="218"/>
      <c r="J20" s="183"/>
      <c r="K20" s="183"/>
      <c r="L20" s="183"/>
      <c r="M20" s="183"/>
      <c r="O20" s="184"/>
      <c r="Q20" s="79">
        <f>Q19*1.1</f>
        <v>108651913.92000002</v>
      </c>
      <c r="R20" s="185"/>
    </row>
    <row r="21" spans="4:28" ht="13.5" thickBot="1">
      <c r="D21" s="183">
        <v>0.130825</v>
      </c>
      <c r="E21" s="183"/>
      <c r="F21" s="1045" t="e">
        <f>#REF!</f>
        <v>#REF!</v>
      </c>
      <c r="G21" s="1046"/>
      <c r="H21" s="183"/>
      <c r="I21" s="183"/>
      <c r="J21" s="183"/>
      <c r="K21" s="183"/>
      <c r="L21" s="183"/>
      <c r="M21" s="183"/>
      <c r="O21" s="78"/>
      <c r="P21" s="79">
        <f>Q20-Q19</f>
        <v>9877446.7200000137</v>
      </c>
      <c r="Q21" s="79">
        <f>P21/Q20</f>
        <v>9.0909090909091023E-2</v>
      </c>
      <c r="R21" s="186"/>
      <c r="T21" s="79">
        <v>284018</v>
      </c>
      <c r="V21" s="84" t="s">
        <v>54</v>
      </c>
    </row>
    <row r="22" spans="4:28" ht="15.75" thickBot="1">
      <c r="D22" s="183">
        <v>0.11924999999999999</v>
      </c>
      <c r="E22" s="183"/>
      <c r="F22" s="1045" t="e">
        <f>#REF!</f>
        <v>#REF!</v>
      </c>
      <c r="G22" s="1046"/>
      <c r="H22" s="183"/>
      <c r="I22" s="183"/>
      <c r="J22" s="183"/>
      <c r="K22" s="183"/>
      <c r="L22" s="183"/>
      <c r="M22" s="183"/>
      <c r="O22" s="78"/>
      <c r="R22" s="186"/>
      <c r="U22" s="170" t="s">
        <v>226</v>
      </c>
      <c r="V22" s="187">
        <v>158240.9</v>
      </c>
      <c r="W22" s="188">
        <f>V22/$V$25</f>
        <v>0.11241553946172897</v>
      </c>
      <c r="X22" s="114">
        <v>35</v>
      </c>
      <c r="Y22" s="114">
        <v>25</v>
      </c>
    </row>
    <row r="23" spans="4:28" ht="13.5" thickBot="1">
      <c r="D23" s="183">
        <v>0.33689999999999998</v>
      </c>
      <c r="E23" s="183"/>
      <c r="F23" s="1045" t="e">
        <f>#REF!</f>
        <v>#REF!</v>
      </c>
      <c r="G23" s="1046"/>
      <c r="H23" s="183"/>
      <c r="I23" s="183"/>
      <c r="J23" s="183"/>
      <c r="K23" s="183"/>
      <c r="L23" s="183"/>
      <c r="M23" s="183">
        <f>39*0.8</f>
        <v>31.200000000000003</v>
      </c>
      <c r="O23" s="78"/>
      <c r="R23" s="186"/>
      <c r="U23" s="170" t="s">
        <v>227</v>
      </c>
      <c r="V23" s="189">
        <v>79103.679999999993</v>
      </c>
      <c r="W23" s="188">
        <f>V23/$V$25</f>
        <v>5.6195856195256605E-2</v>
      </c>
      <c r="X23" s="114">
        <v>5</v>
      </c>
      <c r="Y23" s="114">
        <v>15</v>
      </c>
      <c r="AA23" s="79" t="e">
        <f>0.25*AA7</f>
        <v>#REF!</v>
      </c>
    </row>
    <row r="24" spans="4:28" ht="13.5" thickBot="1">
      <c r="O24" s="78"/>
      <c r="R24" s="186"/>
      <c r="U24" s="170" t="s">
        <v>228</v>
      </c>
      <c r="V24" s="190">
        <v>1170298</v>
      </c>
      <c r="W24" s="188">
        <f>V24/$V$25</f>
        <v>0.83138860434301431</v>
      </c>
      <c r="X24" s="114">
        <v>55</v>
      </c>
      <c r="Y24" s="114">
        <v>60</v>
      </c>
    </row>
    <row r="25" spans="4:28" ht="13.5" thickBot="1">
      <c r="O25" s="78"/>
      <c r="R25" s="186"/>
      <c r="V25" s="39">
        <f>SUM(V22:V24)</f>
        <v>1407642.58</v>
      </c>
      <c r="X25" s="84" t="s">
        <v>55</v>
      </c>
    </row>
    <row r="26" spans="4:28" ht="13.5" thickBot="1">
      <c r="O26" s="78"/>
      <c r="R26" s="186"/>
      <c r="X26" s="79" t="s">
        <v>56</v>
      </c>
    </row>
    <row r="27" spans="4:28" ht="13.5" thickBot="1">
      <c r="O27" s="78"/>
      <c r="T27" s="79">
        <f>18/70</f>
        <v>0.25714285714285712</v>
      </c>
    </row>
    <row r="28" spans="4:28" ht="13.5" thickBot="1">
      <c r="O28" s="78"/>
      <c r="W28" s="170" t="s">
        <v>229</v>
      </c>
      <c r="X28" s="39" t="e">
        <f>X30/AA7</f>
        <v>#REF!</v>
      </c>
      <c r="Z28" s="170" t="s">
        <v>230</v>
      </c>
      <c r="AA28" s="39">
        <f>R41/W7</f>
        <v>4.4390290294851337E-3</v>
      </c>
    </row>
    <row r="29" spans="4:28" ht="13.5" thickBot="1">
      <c r="O29" s="78"/>
    </row>
    <row r="30" spans="4:28" ht="13.5" thickBot="1">
      <c r="O30" s="78"/>
      <c r="P30" s="79" t="s">
        <v>18</v>
      </c>
      <c r="R30" s="191">
        <v>356729</v>
      </c>
      <c r="S30" s="192">
        <v>4809</v>
      </c>
      <c r="T30" s="192">
        <v>2549</v>
      </c>
      <c r="U30" s="192">
        <v>183</v>
      </c>
      <c r="V30" s="192">
        <v>235</v>
      </c>
      <c r="W30" s="192">
        <v>281</v>
      </c>
      <c r="X30" s="193">
        <f>R30+S30+T30+U30+V30+W30</f>
        <v>364786</v>
      </c>
      <c r="Y30" s="84" t="s">
        <v>18</v>
      </c>
    </row>
    <row r="31" spans="4:28" ht="13.5" thickBot="1">
      <c r="O31" s="78"/>
      <c r="P31" s="79" t="s">
        <v>29</v>
      </c>
      <c r="S31" s="79">
        <v>1.1000000000000001</v>
      </c>
      <c r="T31" s="79">
        <v>0.32</v>
      </c>
      <c r="U31" s="79">
        <v>5.8000000000000003E-2</v>
      </c>
      <c r="V31" s="178">
        <v>0.14000000000000001</v>
      </c>
      <c r="W31" s="178">
        <v>0.14000000000000001</v>
      </c>
      <c r="X31" s="193">
        <f>R31+S31+T31+U31+V31+W31</f>
        <v>1.7580000000000005</v>
      </c>
      <c r="Y31" s="79" t="s">
        <v>231</v>
      </c>
    </row>
    <row r="32" spans="4:28">
      <c r="R32" s="175">
        <f>R30+S30</f>
        <v>361538</v>
      </c>
      <c r="S32" s="175">
        <f>S30+T30+U30+V30+W30</f>
        <v>8057</v>
      </c>
      <c r="T32" s="79">
        <v>1.76</v>
      </c>
    </row>
    <row r="33" spans="15:28" ht="13.5" thickBot="1">
      <c r="S33" s="79">
        <f>S32*T33/T32</f>
        <v>18311.363636363636</v>
      </c>
      <c r="T33" s="178">
        <v>4</v>
      </c>
    </row>
    <row r="34" spans="15:28" ht="15.75" thickBot="1">
      <c r="R34" s="194">
        <v>384453</v>
      </c>
      <c r="V34" s="195"/>
      <c r="W34" s="195"/>
      <c r="Y34" s="195"/>
    </row>
    <row r="35" spans="15:28" ht="15.75" thickBot="1">
      <c r="P35" s="196"/>
      <c r="Q35" s="197"/>
      <c r="R35" s="198">
        <v>2209</v>
      </c>
      <c r="T35" s="195"/>
      <c r="V35" s="199"/>
      <c r="W35" s="199"/>
      <c r="Y35" s="199"/>
    </row>
    <row r="36" spans="15:28" ht="15.75" thickBot="1">
      <c r="P36" s="197"/>
      <c r="Q36" s="197"/>
      <c r="R36" s="200">
        <v>391</v>
      </c>
      <c r="T36" s="199"/>
      <c r="V36" s="201"/>
      <c r="W36" s="199"/>
      <c r="Y36" s="199"/>
    </row>
    <row r="37" spans="15:28" ht="15.75" thickBot="1">
      <c r="P37" s="202"/>
      <c r="Q37" s="202"/>
      <c r="R37" s="198">
        <v>1234</v>
      </c>
      <c r="T37" s="199"/>
      <c r="W37" s="199"/>
      <c r="Y37" s="199"/>
    </row>
    <row r="38" spans="15:28" ht="15.75" thickBot="1">
      <c r="P38" s="197"/>
      <c r="Q38" s="197"/>
      <c r="R38" s="198">
        <v>64963</v>
      </c>
      <c r="T38" s="199"/>
      <c r="W38" s="201"/>
      <c r="Y38" s="201"/>
      <c r="AA38" s="170" t="s">
        <v>232</v>
      </c>
      <c r="AB38" s="39">
        <v>8.357808898857743E-3</v>
      </c>
    </row>
    <row r="39" spans="15:28" ht="15.75" thickBot="1">
      <c r="P39" s="202"/>
      <c r="Q39" s="202"/>
      <c r="R39" s="198">
        <v>1467</v>
      </c>
      <c r="T39" s="199"/>
    </row>
    <row r="40" spans="15:28" ht="15.75" thickBot="1">
      <c r="P40" s="155"/>
      <c r="Q40" s="155"/>
      <c r="R40" s="198">
        <v>27592</v>
      </c>
      <c r="T40" s="199"/>
    </row>
    <row r="41" spans="15:28" ht="15.75" thickBot="1">
      <c r="R41" s="155">
        <f>SUM(R34:R40)</f>
        <v>482309</v>
      </c>
      <c r="T41" s="199"/>
      <c r="V41" s="203">
        <v>69770</v>
      </c>
      <c r="W41" s="204">
        <v>1100</v>
      </c>
      <c r="X41" s="204">
        <v>320</v>
      </c>
      <c r="Y41" s="204">
        <v>58</v>
      </c>
      <c r="Z41" s="204">
        <v>140</v>
      </c>
      <c r="AA41" s="204">
        <v>140</v>
      </c>
      <c r="AB41" s="79">
        <f>(V41+W41+X41+Y41+Z41+AA41)/1000</f>
        <v>71.528000000000006</v>
      </c>
    </row>
    <row r="42" spans="15:28" ht="15.75" thickBot="1">
      <c r="O42" s="84"/>
      <c r="T42" s="199"/>
    </row>
    <row r="43" spans="15:28" ht="16.5" thickBot="1">
      <c r="O43" s="84"/>
      <c r="P43" s="153"/>
      <c r="Q43" s="153"/>
      <c r="T43" s="199"/>
    </row>
    <row r="44" spans="15:28" ht="15.75" thickBot="1">
      <c r="T44" s="205"/>
    </row>
    <row r="53" spans="4:21" ht="13.5" thickBot="1"/>
    <row r="54" spans="4:21" ht="16.5" thickBot="1">
      <c r="N54" s="206">
        <v>273.10000000000002</v>
      </c>
      <c r="P54" s="206">
        <v>2671</v>
      </c>
      <c r="Q54" s="207"/>
    </row>
    <row r="55" spans="4:21" ht="16.5" thickBot="1">
      <c r="N55" s="208">
        <v>117.4</v>
      </c>
      <c r="P55" s="208">
        <v>208</v>
      </c>
      <c r="Q55" s="207"/>
    </row>
    <row r="56" spans="4:21" ht="16.5" thickBot="1">
      <c r="N56" s="208">
        <v>405.7</v>
      </c>
      <c r="P56" s="208">
        <v>157</v>
      </c>
      <c r="Q56" s="207"/>
      <c r="T56" s="209">
        <v>64.8</v>
      </c>
      <c r="U56" s="210">
        <v>15151.4</v>
      </c>
    </row>
    <row r="57" spans="4:21" ht="16.5" thickBot="1">
      <c r="N57" s="208">
        <v>75.7</v>
      </c>
      <c r="P57" s="208">
        <v>8</v>
      </c>
      <c r="Q57" s="207"/>
      <c r="T57" s="211">
        <v>8.57</v>
      </c>
      <c r="U57" s="212">
        <v>775.3</v>
      </c>
    </row>
    <row r="58" spans="4:21" ht="16.5" thickBot="1">
      <c r="N58" s="208">
        <v>149.6</v>
      </c>
      <c r="P58" s="208">
        <v>3</v>
      </c>
      <c r="Q58" s="207"/>
      <c r="T58" s="211">
        <v>19.97</v>
      </c>
      <c r="U58" s="212">
        <v>4631.7</v>
      </c>
    </row>
    <row r="59" spans="4:21" ht="16.5" thickBot="1">
      <c r="N59" s="208" t="s">
        <v>58</v>
      </c>
      <c r="P59" s="208">
        <v>0</v>
      </c>
      <c r="Q59" s="207"/>
      <c r="T59" s="213">
        <v>42.16</v>
      </c>
      <c r="U59" s="214">
        <v>14655</v>
      </c>
    </row>
    <row r="60" spans="4:21" ht="16.5" thickBot="1">
      <c r="N60" s="208" t="s">
        <v>58</v>
      </c>
      <c r="P60" s="208">
        <v>0</v>
      </c>
      <c r="Q60" s="207"/>
      <c r="T60" s="79">
        <f>SUM(T56:T59)</f>
        <v>135.5</v>
      </c>
      <c r="U60" s="79">
        <f>SUM(U56:U59)</f>
        <v>35213.399999999994</v>
      </c>
    </row>
    <row r="61" spans="4:21" ht="16.5" thickBot="1">
      <c r="N61" s="208">
        <v>650</v>
      </c>
      <c r="P61" s="208">
        <v>1</v>
      </c>
      <c r="Q61" s="207"/>
    </row>
    <row r="62" spans="4:21" ht="16.5" thickBot="1">
      <c r="D62" s="79">
        <f>N62/M62</f>
        <v>11.569847442416991</v>
      </c>
      <c r="M62" s="79">
        <f>SUM(N54:N61)</f>
        <v>1671.5</v>
      </c>
      <c r="N62" s="215">
        <v>19339</v>
      </c>
      <c r="P62" s="208">
        <v>0</v>
      </c>
      <c r="Q62" s="207"/>
    </row>
    <row r="63" spans="4:21" ht="16.5" thickBot="1">
      <c r="P63" s="208">
        <v>1</v>
      </c>
      <c r="Q63" s="207"/>
    </row>
    <row r="64" spans="4:21">
      <c r="N64" s="79">
        <f>SUM(N54:N62)</f>
        <v>21010.5</v>
      </c>
      <c r="P64" s="79">
        <f>SUM(P54:P63)</f>
        <v>3049</v>
      </c>
    </row>
  </sheetData>
  <mergeCells count="19">
    <mergeCell ref="F23:G23"/>
    <mergeCell ref="N10:O10"/>
    <mergeCell ref="P10:P15"/>
    <mergeCell ref="N11:O11"/>
    <mergeCell ref="N12:O12"/>
    <mergeCell ref="N13:O13"/>
    <mergeCell ref="N14:O14"/>
    <mergeCell ref="N15:O15"/>
    <mergeCell ref="N16:O16"/>
    <mergeCell ref="F19:G19"/>
    <mergeCell ref="F20:G20"/>
    <mergeCell ref="F21:G21"/>
    <mergeCell ref="F22:G22"/>
    <mergeCell ref="P8:P9"/>
    <mergeCell ref="N7:O7"/>
    <mergeCell ref="A8:A9"/>
    <mergeCell ref="D8:D9"/>
    <mergeCell ref="M8:M9"/>
    <mergeCell ref="N8:O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249977111117893"/>
  </sheetPr>
  <dimension ref="A1:T43"/>
  <sheetViews>
    <sheetView topLeftCell="D10" workbookViewId="0">
      <selection activeCell="L23" sqref="L23:O26"/>
    </sheetView>
  </sheetViews>
  <sheetFormatPr defaultRowHeight="12.75"/>
  <cols>
    <col min="1" max="1" width="10.28515625" customWidth="1"/>
    <col min="2" max="2" width="18.140625" customWidth="1"/>
    <col min="3" max="3" width="11" customWidth="1"/>
    <col min="4" max="4" width="12.7109375" customWidth="1"/>
    <col min="5" max="5" width="10" customWidth="1"/>
    <col min="6" max="6" width="9.7109375" bestFit="1" customWidth="1"/>
    <col min="8" max="8" width="9.140625" style="79"/>
    <col min="9" max="9" width="8.28515625" bestFit="1" customWidth="1"/>
    <col min="11" max="11" width="10.140625" customWidth="1"/>
    <col min="12" max="12" width="11.42578125" customWidth="1"/>
    <col min="13" max="13" width="9.7109375" bestFit="1" customWidth="1"/>
    <col min="14" max="14" width="10.28515625" customWidth="1"/>
    <col min="15" max="15" width="10.7109375" customWidth="1"/>
    <col min="17" max="17" width="10.7109375" bestFit="1" customWidth="1"/>
    <col min="19" max="19" width="12.28515625" bestFit="1" customWidth="1"/>
  </cols>
  <sheetData>
    <row r="1" spans="1:17">
      <c r="A1" s="65" t="s">
        <v>71</v>
      </c>
      <c r="B1" s="79"/>
      <c r="C1" s="79"/>
      <c r="D1" s="79"/>
      <c r="I1" s="79"/>
    </row>
    <row r="2" spans="1:17">
      <c r="A2" s="65"/>
      <c r="I2" s="79"/>
      <c r="O2" s="65" t="s">
        <v>195</v>
      </c>
      <c r="P2" s="65" t="s">
        <v>328</v>
      </c>
    </row>
    <row r="3" spans="1:17">
      <c r="A3" s="623">
        <v>2020</v>
      </c>
      <c r="B3" s="624"/>
      <c r="C3" s="335" t="s">
        <v>319</v>
      </c>
      <c r="D3" s="335" t="s">
        <v>318</v>
      </c>
      <c r="E3" s="335" t="s">
        <v>320</v>
      </c>
      <c r="F3" s="622" t="s">
        <v>327</v>
      </c>
      <c r="G3" s="622"/>
      <c r="H3" s="353"/>
      <c r="I3" s="79"/>
      <c r="J3" s="623">
        <v>2017</v>
      </c>
      <c r="K3" s="624"/>
      <c r="L3" s="335" t="s">
        <v>319</v>
      </c>
      <c r="M3" s="335" t="s">
        <v>318</v>
      </c>
      <c r="N3" s="335" t="s">
        <v>320</v>
      </c>
      <c r="O3" s="622" t="s">
        <v>327</v>
      </c>
      <c r="P3" s="622"/>
    </row>
    <row r="4" spans="1:17">
      <c r="A4" s="328" t="s">
        <v>72</v>
      </c>
      <c r="B4" s="329"/>
      <c r="C4" s="336">
        <v>35</v>
      </c>
      <c r="D4" s="336">
        <v>48</v>
      </c>
      <c r="E4" s="336">
        <v>7</v>
      </c>
      <c r="F4" s="336">
        <v>8</v>
      </c>
      <c r="G4" s="336">
        <v>10</v>
      </c>
      <c r="H4" s="178"/>
      <c r="I4" s="79"/>
      <c r="J4" s="328" t="s">
        <v>72</v>
      </c>
      <c r="K4" s="329"/>
      <c r="L4" s="336">
        <v>35</v>
      </c>
      <c r="M4" s="336">
        <v>48</v>
      </c>
      <c r="N4" s="336">
        <v>5</v>
      </c>
      <c r="O4" s="336">
        <v>5</v>
      </c>
      <c r="P4" s="336">
        <v>10</v>
      </c>
      <c r="Q4" s="65"/>
    </row>
    <row r="5" spans="1:17">
      <c r="A5" s="328" t="s">
        <v>73</v>
      </c>
      <c r="B5" s="329" t="s">
        <v>74</v>
      </c>
      <c r="C5" s="512">
        <f>L5*J19</f>
        <v>10758.097927607136</v>
      </c>
      <c r="D5" s="506">
        <f>M5*J19</f>
        <v>856.13549653272776</v>
      </c>
      <c r="E5" s="506">
        <f>N5*J19</f>
        <v>2844.3842849510861</v>
      </c>
      <c r="F5" s="506">
        <f>J20*O5</f>
        <v>1513.2399287081785</v>
      </c>
      <c r="G5" s="484">
        <v>0</v>
      </c>
      <c r="H5" s="909"/>
      <c r="J5" s="328" t="s">
        <v>73</v>
      </c>
      <c r="K5" s="329" t="s">
        <v>74</v>
      </c>
      <c r="L5" s="538">
        <f>11531-M5</f>
        <v>10681</v>
      </c>
      <c r="M5" s="539">
        <v>850</v>
      </c>
      <c r="N5" s="935">
        <v>2824</v>
      </c>
      <c r="O5" s="539">
        <v>1470</v>
      </c>
      <c r="P5" s="484">
        <v>0</v>
      </c>
    </row>
    <row r="6" spans="1:17">
      <c r="A6" s="328" t="s">
        <v>70</v>
      </c>
      <c r="B6" s="331">
        <v>4.1900000000000004</v>
      </c>
      <c r="C6" s="320">
        <v>4.1900000000000004</v>
      </c>
      <c r="D6" s="320">
        <v>4.1900000000000004</v>
      </c>
      <c r="E6" s="320">
        <v>4.1900000000000004</v>
      </c>
      <c r="F6" s="320">
        <v>4.1900000000000004</v>
      </c>
      <c r="G6" s="320">
        <v>4.1900000000000004</v>
      </c>
      <c r="H6" s="178"/>
      <c r="J6" s="328" t="s">
        <v>70</v>
      </c>
      <c r="K6" s="331">
        <v>4.1900000000000004</v>
      </c>
      <c r="L6" s="320">
        <v>4.1900000000000004</v>
      </c>
      <c r="M6" s="320">
        <v>4.1900000000000004</v>
      </c>
      <c r="N6" s="320">
        <v>4.1900000000000004</v>
      </c>
      <c r="O6" s="320">
        <v>4.1900000000000004</v>
      </c>
      <c r="P6" s="320">
        <v>4.1900000000000004</v>
      </c>
    </row>
    <row r="7" spans="1:17">
      <c r="A7" s="328" t="s">
        <v>75</v>
      </c>
      <c r="B7" s="329" t="s">
        <v>76</v>
      </c>
      <c r="C7" s="336">
        <v>365</v>
      </c>
      <c r="D7" s="336">
        <v>365</v>
      </c>
      <c r="E7" s="336">
        <v>365</v>
      </c>
      <c r="F7" s="336">
        <v>243</v>
      </c>
      <c r="G7" s="336">
        <v>365</v>
      </c>
      <c r="H7" s="178"/>
      <c r="J7" s="328" t="s">
        <v>75</v>
      </c>
      <c r="K7" s="329" t="s">
        <v>76</v>
      </c>
      <c r="L7" s="336">
        <v>365</v>
      </c>
      <c r="M7" s="336">
        <v>365</v>
      </c>
      <c r="N7" s="336">
        <v>365</v>
      </c>
      <c r="O7" s="336">
        <v>243</v>
      </c>
      <c r="P7" s="336">
        <v>365</v>
      </c>
    </row>
    <row r="8" spans="1:17">
      <c r="A8" s="328" t="s">
        <v>77</v>
      </c>
      <c r="B8" s="329" t="s">
        <v>78</v>
      </c>
      <c r="C8" s="320">
        <v>1</v>
      </c>
      <c r="D8" s="320">
        <v>1</v>
      </c>
      <c r="E8" s="320">
        <v>1</v>
      </c>
      <c r="F8" s="320">
        <v>1</v>
      </c>
      <c r="G8" s="320">
        <v>1</v>
      </c>
      <c r="H8" s="178"/>
      <c r="J8" s="328" t="s">
        <v>77</v>
      </c>
      <c r="K8" s="329" t="s">
        <v>78</v>
      </c>
      <c r="L8" s="320">
        <v>1</v>
      </c>
      <c r="M8" s="320">
        <v>1</v>
      </c>
      <c r="N8" s="320">
        <v>1</v>
      </c>
      <c r="O8" s="320">
        <v>1</v>
      </c>
      <c r="P8" s="320">
        <v>1</v>
      </c>
    </row>
    <row r="9" spans="1:17">
      <c r="A9" s="328" t="s">
        <v>79</v>
      </c>
      <c r="B9" s="329" t="s">
        <v>80</v>
      </c>
      <c r="C9" s="320">
        <v>1000</v>
      </c>
      <c r="D9" s="320">
        <v>1000</v>
      </c>
      <c r="E9" s="320">
        <v>1000</v>
      </c>
      <c r="F9" s="320">
        <v>1000</v>
      </c>
      <c r="G9" s="320">
        <v>1000</v>
      </c>
      <c r="H9" s="178"/>
      <c r="J9" s="328" t="s">
        <v>79</v>
      </c>
      <c r="K9" s="329" t="s">
        <v>80</v>
      </c>
      <c r="L9" s="320">
        <v>1000</v>
      </c>
      <c r="M9" s="320">
        <v>1000</v>
      </c>
      <c r="N9" s="320">
        <v>1000</v>
      </c>
      <c r="O9" s="320">
        <v>1000</v>
      </c>
      <c r="P9" s="320">
        <v>1000</v>
      </c>
    </row>
    <row r="10" spans="1:17">
      <c r="A10" s="328" t="s">
        <v>81</v>
      </c>
      <c r="B10" s="329" t="s">
        <v>82</v>
      </c>
      <c r="C10" s="320">
        <f>55-10</f>
        <v>45</v>
      </c>
      <c r="D10" s="320">
        <f>55-10</f>
        <v>45</v>
      </c>
      <c r="E10" s="320">
        <f>55-10</f>
        <v>45</v>
      </c>
      <c r="F10" s="320">
        <f t="shared" ref="F10:G10" si="0">55-10</f>
        <v>45</v>
      </c>
      <c r="G10" s="320">
        <f t="shared" si="0"/>
        <v>45</v>
      </c>
      <c r="H10" s="178"/>
      <c r="J10" s="328" t="s">
        <v>81</v>
      </c>
      <c r="K10" s="329" t="s">
        <v>82</v>
      </c>
      <c r="L10" s="320">
        <f t="shared" ref="L10:P10" si="1">55-10</f>
        <v>45</v>
      </c>
      <c r="M10" s="320">
        <f t="shared" si="1"/>
        <v>45</v>
      </c>
      <c r="N10" s="320">
        <f t="shared" si="1"/>
        <v>45</v>
      </c>
      <c r="O10" s="320">
        <f t="shared" si="1"/>
        <v>45</v>
      </c>
      <c r="P10" s="320">
        <f t="shared" si="1"/>
        <v>45</v>
      </c>
    </row>
    <row r="11" spans="1:17">
      <c r="A11" s="328" t="s">
        <v>317</v>
      </c>
      <c r="B11" s="331"/>
      <c r="C11" s="336">
        <v>0.9</v>
      </c>
      <c r="D11" s="336">
        <v>0.9</v>
      </c>
      <c r="E11" s="336">
        <v>0.9</v>
      </c>
      <c r="F11" s="336">
        <v>0.9</v>
      </c>
      <c r="G11" s="336">
        <v>0.8</v>
      </c>
      <c r="H11" s="178"/>
      <c r="J11" s="328" t="s">
        <v>317</v>
      </c>
      <c r="K11" s="331"/>
      <c r="L11" s="336">
        <v>0.9</v>
      </c>
      <c r="M11" s="336">
        <v>0.9</v>
      </c>
      <c r="N11" s="336">
        <v>0.9</v>
      </c>
      <c r="O11" s="336">
        <v>0.9</v>
      </c>
      <c r="P11" s="336">
        <v>0.8</v>
      </c>
    </row>
    <row r="12" spans="1:17">
      <c r="A12" s="329" t="s">
        <v>84</v>
      </c>
      <c r="B12" s="328" t="s">
        <v>83</v>
      </c>
      <c r="C12" s="332">
        <f>C4*C5*C6*C9*C10*C8*C7/(1000*3600)</f>
        <v>7198142.4661938632</v>
      </c>
      <c r="D12" s="332">
        <f>D4*D5*D6*D9*D10*D8*D7/(1000*3600)</f>
        <v>785598.49297339632</v>
      </c>
      <c r="E12" s="332">
        <f>E4*E5*E6*E9*E10*E8*E7/(1000*3600)</f>
        <v>380630.17179162015</v>
      </c>
      <c r="F12" s="332">
        <f t="shared" ref="F12:G12" si="2">F4*F5*F6*F9*F10*F8*F7/(1000*3600)</f>
        <v>154073.54982128061</v>
      </c>
      <c r="G12" s="332">
        <f t="shared" si="2"/>
        <v>0</v>
      </c>
      <c r="H12" s="338"/>
      <c r="J12" s="329" t="s">
        <v>84</v>
      </c>
      <c r="K12" s="328" t="s">
        <v>83</v>
      </c>
      <c r="L12" s="332">
        <f t="shared" ref="L12:P12" si="3">L4*L5*L6*L9*L10*L8*L7/(1000*3600)</f>
        <v>7146556.9656250011</v>
      </c>
      <c r="M12" s="332">
        <f t="shared" si="3"/>
        <v>779968.50000000012</v>
      </c>
      <c r="N12" s="332">
        <f t="shared" si="3"/>
        <v>269930.27500000002</v>
      </c>
      <c r="O12" s="332">
        <f t="shared" si="3"/>
        <v>93544.368750000023</v>
      </c>
      <c r="P12" s="332">
        <f t="shared" si="3"/>
        <v>0</v>
      </c>
    </row>
    <row r="13" spans="1:17">
      <c r="A13" s="329" t="s">
        <v>85</v>
      </c>
      <c r="B13" s="331"/>
      <c r="C13" s="332">
        <f>C12/1000</f>
        <v>7198.1424661938636</v>
      </c>
      <c r="D13" s="332">
        <f>D12/1000</f>
        <v>785.59849297339633</v>
      </c>
      <c r="E13" s="332">
        <f>E12/1000</f>
        <v>380.63017179162017</v>
      </c>
      <c r="F13" s="332">
        <f t="shared" ref="F13:G13" si="4">F12/1000</f>
        <v>154.07354982128061</v>
      </c>
      <c r="G13" s="332">
        <f t="shared" si="4"/>
        <v>0</v>
      </c>
      <c r="H13" s="338"/>
      <c r="J13" s="329" t="s">
        <v>85</v>
      </c>
      <c r="K13" s="331"/>
      <c r="L13" s="332">
        <f t="shared" ref="L13:P13" si="5">L12/1000</f>
        <v>7146.5569656250009</v>
      </c>
      <c r="M13" s="332">
        <f t="shared" si="5"/>
        <v>779.96850000000006</v>
      </c>
      <c r="N13" s="332">
        <f t="shared" si="5"/>
        <v>269.93027500000005</v>
      </c>
      <c r="O13" s="332">
        <f t="shared" si="5"/>
        <v>93.544368750000018</v>
      </c>
      <c r="P13" s="332">
        <f t="shared" si="5"/>
        <v>0</v>
      </c>
    </row>
    <row r="14" spans="1:17">
      <c r="A14" s="329" t="s">
        <v>44</v>
      </c>
      <c r="B14" s="333"/>
      <c r="C14" s="332">
        <f>C13*3.6</f>
        <v>25913.312878297911</v>
      </c>
      <c r="D14" s="332">
        <f>D13*3.6</f>
        <v>2828.1545747042269</v>
      </c>
      <c r="E14" s="332">
        <f>E13*3.6</f>
        <v>1370.2686184498327</v>
      </c>
      <c r="F14" s="332">
        <f t="shared" ref="F14:G14" si="6">F13*3.6</f>
        <v>554.66477935661021</v>
      </c>
      <c r="G14" s="332">
        <f t="shared" si="6"/>
        <v>0</v>
      </c>
      <c r="H14" s="338"/>
      <c r="J14" s="329" t="s">
        <v>44</v>
      </c>
      <c r="K14" s="333"/>
      <c r="L14" s="332">
        <f t="shared" ref="L14:P14" si="7">L13*3.6</f>
        <v>25727.605076250005</v>
      </c>
      <c r="M14" s="332">
        <f t="shared" si="7"/>
        <v>2807.8866000000003</v>
      </c>
      <c r="N14" s="332">
        <f t="shared" si="7"/>
        <v>971.74899000000016</v>
      </c>
      <c r="O14" s="332">
        <f t="shared" si="7"/>
        <v>336.75972750000005</v>
      </c>
      <c r="P14" s="332">
        <f t="shared" si="7"/>
        <v>0</v>
      </c>
    </row>
    <row r="15" spans="1:17">
      <c r="A15" s="329" t="s">
        <v>44</v>
      </c>
      <c r="B15" s="328" t="s">
        <v>83</v>
      </c>
      <c r="C15" s="334">
        <f>C14*C11</f>
        <v>23321.98159046812</v>
      </c>
      <c r="D15" s="334">
        <f>0.9*D14</f>
        <v>2545.3391172338042</v>
      </c>
      <c r="E15" s="334">
        <f>0.9*E14</f>
        <v>1233.2417566048496</v>
      </c>
      <c r="F15" s="334">
        <f t="shared" ref="F15:G15" si="8">0.9*F14</f>
        <v>499.19830142094918</v>
      </c>
      <c r="G15" s="334">
        <f t="shared" si="8"/>
        <v>0</v>
      </c>
      <c r="H15" s="338"/>
      <c r="J15" s="329" t="s">
        <v>44</v>
      </c>
      <c r="K15" s="328" t="s">
        <v>83</v>
      </c>
      <c r="L15" s="334">
        <f>L14*L11</f>
        <v>23154.844568625005</v>
      </c>
      <c r="M15" s="334">
        <f>0.9*M14</f>
        <v>2527.0979400000001</v>
      </c>
      <c r="N15" s="334">
        <f>0.9*N14</f>
        <v>874.57409100000018</v>
      </c>
      <c r="O15" s="334">
        <f>0.9*O14</f>
        <v>303.08375475000008</v>
      </c>
      <c r="P15" s="334">
        <f>0.9*P14</f>
        <v>0</v>
      </c>
    </row>
    <row r="16" spans="1:17">
      <c r="I16" s="65"/>
    </row>
    <row r="17" spans="1:20">
      <c r="A17" s="623">
        <v>2030</v>
      </c>
      <c r="B17" s="624"/>
      <c r="C17" s="335" t="s">
        <v>319</v>
      </c>
      <c r="D17" s="335" t="s">
        <v>318</v>
      </c>
      <c r="E17" s="335" t="s">
        <v>320</v>
      </c>
      <c r="F17" s="622" t="s">
        <v>327</v>
      </c>
      <c r="G17" s="622"/>
      <c r="H17" s="353"/>
      <c r="I17" s="65"/>
      <c r="K17" t="s">
        <v>50</v>
      </c>
      <c r="L17" t="s">
        <v>29</v>
      </c>
      <c r="M17" t="s">
        <v>412</v>
      </c>
      <c r="N17" t="s">
        <v>641</v>
      </c>
    </row>
    <row r="18" spans="1:20">
      <c r="A18" s="328" t="s">
        <v>72</v>
      </c>
      <c r="B18" s="329"/>
      <c r="C18" s="336">
        <v>35</v>
      </c>
      <c r="D18" s="336">
        <v>48</v>
      </c>
      <c r="E18" s="336">
        <v>7</v>
      </c>
      <c r="F18" s="336">
        <v>8</v>
      </c>
      <c r="G18" s="336">
        <v>10</v>
      </c>
      <c r="H18" s="178"/>
      <c r="I18" s="65"/>
      <c r="J18" s="498"/>
      <c r="K18" s="730">
        <f>L5+M5</f>
        <v>11531</v>
      </c>
    </row>
    <row r="19" spans="1:20">
      <c r="A19" s="328" t="s">
        <v>73</v>
      </c>
      <c r="B19" s="329" t="s">
        <v>74</v>
      </c>
      <c r="C19" s="513">
        <f>L5*J20</f>
        <v>10995.180733695275</v>
      </c>
      <c r="D19" s="506">
        <f>J20*M5</f>
        <v>875.00267986527319</v>
      </c>
      <c r="E19" s="506">
        <f>N5*J20</f>
        <v>2907.0677269876842</v>
      </c>
      <c r="F19" s="506">
        <f>O5*J20</f>
        <v>1513.2399287081785</v>
      </c>
      <c r="G19" s="484">
        <v>0</v>
      </c>
      <c r="H19" s="909"/>
      <c r="I19" s="65"/>
      <c r="J19" s="731">
        <v>1.0072182312149738</v>
      </c>
      <c r="K19" s="730">
        <f>K18*J19</f>
        <v>11614.233424139862</v>
      </c>
      <c r="N19">
        <f>M5/K18</f>
        <v>7.371433527014136E-2</v>
      </c>
    </row>
    <row r="20" spans="1:20">
      <c r="A20" s="328" t="s">
        <v>70</v>
      </c>
      <c r="B20" s="331">
        <v>4.1900000000000004</v>
      </c>
      <c r="C20" s="320">
        <v>4.1900000000000004</v>
      </c>
      <c r="D20" s="320">
        <v>4.1900000000000004</v>
      </c>
      <c r="E20" s="320">
        <v>4.1900000000000004</v>
      </c>
      <c r="F20" s="320">
        <v>4.1900000000000004</v>
      </c>
      <c r="G20" s="320">
        <v>4.1900000000000004</v>
      </c>
      <c r="H20" s="178"/>
      <c r="J20" s="731">
        <v>1.0294149174885567</v>
      </c>
      <c r="K20" s="730">
        <f>J20*K18</f>
        <v>11870.183413560548</v>
      </c>
    </row>
    <row r="21" spans="1:20">
      <c r="A21" s="328" t="s">
        <v>75</v>
      </c>
      <c r="B21" s="329" t="s">
        <v>76</v>
      </c>
      <c r="C21" s="336">
        <v>365</v>
      </c>
      <c r="D21" s="336">
        <v>365</v>
      </c>
      <c r="E21" s="336">
        <v>365</v>
      </c>
      <c r="F21" s="336">
        <v>243</v>
      </c>
      <c r="G21" s="336">
        <v>365</v>
      </c>
      <c r="H21" s="178"/>
      <c r="J21" s="352"/>
      <c r="K21" s="352"/>
    </row>
    <row r="22" spans="1:20">
      <c r="A22" s="328" t="s">
        <v>77</v>
      </c>
      <c r="B22" s="329" t="s">
        <v>78</v>
      </c>
      <c r="C22" s="320">
        <v>1</v>
      </c>
      <c r="D22" s="320">
        <v>1</v>
      </c>
      <c r="E22" s="320">
        <v>1</v>
      </c>
      <c r="F22" s="320">
        <v>1</v>
      </c>
      <c r="G22" s="320">
        <v>1</v>
      </c>
      <c r="H22" s="178"/>
      <c r="J22" s="352"/>
      <c r="K22" s="733" t="s">
        <v>25</v>
      </c>
      <c r="L22" s="733" t="s">
        <v>413</v>
      </c>
      <c r="M22" s="733"/>
      <c r="N22" s="733"/>
      <c r="O22" s="733"/>
    </row>
    <row r="23" spans="1:20">
      <c r="A23" s="328" t="s">
        <v>79</v>
      </c>
      <c r="B23" s="329" t="s">
        <v>80</v>
      </c>
      <c r="C23" s="320">
        <v>1000</v>
      </c>
      <c r="D23" s="320">
        <v>1000</v>
      </c>
      <c r="E23" s="320">
        <v>1000</v>
      </c>
      <c r="F23" s="320">
        <v>1000</v>
      </c>
      <c r="G23" s="320">
        <v>1000</v>
      </c>
      <c r="H23" s="178"/>
      <c r="J23" s="178"/>
      <c r="K23" s="733"/>
      <c r="L23" s="736" t="s">
        <v>50</v>
      </c>
      <c r="M23" s="736" t="s">
        <v>29</v>
      </c>
      <c r="N23" s="736" t="s">
        <v>411</v>
      </c>
      <c r="O23" s="736" t="s">
        <v>412</v>
      </c>
    </row>
    <row r="24" spans="1:20">
      <c r="A24" s="328" t="s">
        <v>81</v>
      </c>
      <c r="B24" s="329" t="s">
        <v>82</v>
      </c>
      <c r="C24" s="320">
        <f>55-10</f>
        <v>45</v>
      </c>
      <c r="D24" s="320">
        <f>55-10</f>
        <v>45</v>
      </c>
      <c r="E24" s="320">
        <f>55-10</f>
        <v>45</v>
      </c>
      <c r="F24" s="320">
        <f t="shared" ref="F24:G24" si="9">55-10</f>
        <v>45</v>
      </c>
      <c r="G24" s="320">
        <f t="shared" si="9"/>
        <v>45</v>
      </c>
      <c r="H24" s="178"/>
      <c r="I24" s="911" t="s">
        <v>639</v>
      </c>
      <c r="J24" s="912" t="s">
        <v>638</v>
      </c>
      <c r="K24" s="910">
        <v>2016</v>
      </c>
      <c r="L24" s="737">
        <f>BILANS!I2</f>
        <v>270724</v>
      </c>
      <c r="M24" s="738">
        <f>BILANS!I13</f>
        <v>18011</v>
      </c>
      <c r="N24" s="942">
        <f>BILANS!I34</f>
        <v>15339</v>
      </c>
      <c r="O24" s="739">
        <f>BILANS!I24</f>
        <v>124770</v>
      </c>
      <c r="P24" s="912" t="s">
        <v>640</v>
      </c>
      <c r="Q24" s="508">
        <f>L24+M24+N24+O24</f>
        <v>428844</v>
      </c>
      <c r="S24" s="508">
        <f>L24+M24+N24+O24</f>
        <v>428844</v>
      </c>
    </row>
    <row r="25" spans="1:20">
      <c r="A25" s="328" t="s">
        <v>317</v>
      </c>
      <c r="B25" s="331"/>
      <c r="C25" s="336">
        <v>0.9</v>
      </c>
      <c r="D25" s="336">
        <v>0.9</v>
      </c>
      <c r="E25" s="336">
        <v>0.9</v>
      </c>
      <c r="F25" s="336">
        <v>0.9</v>
      </c>
      <c r="G25" s="336">
        <v>0.8</v>
      </c>
      <c r="H25" s="178"/>
      <c r="I25" s="940">
        <v>1.0249999999999999</v>
      </c>
      <c r="J25" s="940">
        <v>1.06</v>
      </c>
      <c r="K25" s="910">
        <v>2022</v>
      </c>
      <c r="L25" s="738">
        <f>L24*J25</f>
        <v>286967.44</v>
      </c>
      <c r="M25" s="740">
        <f>M24*I25</f>
        <v>18461.274999999998</v>
      </c>
      <c r="N25" s="942">
        <f>N24*1.03</f>
        <v>15799.17</v>
      </c>
      <c r="O25" s="738">
        <f>P25*O24</f>
        <v>134751.6</v>
      </c>
      <c r="P25" s="941">
        <v>1.08</v>
      </c>
      <c r="Q25" s="508">
        <f t="shared" ref="Q25:Q26" si="10">L25+M25+N25+O25</f>
        <v>455979.48499999999</v>
      </c>
      <c r="S25" s="508">
        <f t="shared" ref="S25" si="11">L25+M25+N25+O25</f>
        <v>455979.48499999999</v>
      </c>
    </row>
    <row r="26" spans="1:20">
      <c r="A26" s="329" t="s">
        <v>84</v>
      </c>
      <c r="B26" s="328" t="s">
        <v>83</v>
      </c>
      <c r="C26" s="332">
        <f>C18*C19*C20*C23*C24*C22*C21/(1000*3600)</f>
        <v>7356772.3490961306</v>
      </c>
      <c r="D26" s="332">
        <f>D18*D19*D20*D23*D24*D22*D21/(1000*3600)</f>
        <v>802911.20907117333</v>
      </c>
      <c r="E26" s="332">
        <f>E18*E19*E20*E23*E24*E22*E21/(1000*3600)</f>
        <v>389018.35247350385</v>
      </c>
      <c r="F26" s="332">
        <f t="shared" ref="F26:G26" si="12">F18*F19*F20*F23*F24*F22*F21/(1000*3600)</f>
        <v>154073.54982128061</v>
      </c>
      <c r="G26" s="332">
        <f t="shared" si="12"/>
        <v>0</v>
      </c>
      <c r="H26" s="338"/>
      <c r="I26" s="940">
        <v>1.1200000000000001</v>
      </c>
      <c r="J26" s="940">
        <v>1.21</v>
      </c>
      <c r="K26" s="910">
        <v>2032</v>
      </c>
      <c r="L26" s="738">
        <f>J26*L24</f>
        <v>327576.03999999998</v>
      </c>
      <c r="M26" s="740">
        <f>M24*I26</f>
        <v>20172.320000000003</v>
      </c>
      <c r="N26" s="942">
        <f>N24*1.06</f>
        <v>16259.34</v>
      </c>
      <c r="O26" s="738">
        <f>P26*O24</f>
        <v>158457.9</v>
      </c>
      <c r="P26" s="940">
        <v>1.27</v>
      </c>
      <c r="Q26" s="508">
        <f t="shared" si="10"/>
        <v>522465.6</v>
      </c>
      <c r="S26" s="508">
        <f>L26+M26+N26+O26</f>
        <v>522465.6</v>
      </c>
      <c r="T26">
        <f>S26/S24</f>
        <v>1.2183115538517502</v>
      </c>
    </row>
    <row r="27" spans="1:20">
      <c r="A27" s="329" t="s">
        <v>85</v>
      </c>
      <c r="B27" s="331"/>
      <c r="C27" s="332">
        <f>C26/1000</f>
        <v>7356.7723490961307</v>
      </c>
      <c r="D27" s="332">
        <f>D26/1000</f>
        <v>802.91120907117329</v>
      </c>
      <c r="E27" s="332">
        <f>E26/1000</f>
        <v>389.01835247350385</v>
      </c>
      <c r="F27" s="332">
        <f t="shared" ref="F27:G27" si="13">F26/1000</f>
        <v>154.07354982128061</v>
      </c>
      <c r="G27" s="332">
        <f t="shared" si="13"/>
        <v>0</v>
      </c>
      <c r="H27" s="409">
        <v>1.034</v>
      </c>
      <c r="I27" s="939">
        <f>100%+N43</f>
        <v>1.0422110464657564</v>
      </c>
      <c r="J27" s="731">
        <f>100%+N33</f>
        <v>1.0705263157894738</v>
      </c>
      <c r="K27" s="938">
        <v>1.08</v>
      </c>
      <c r="L27" s="31">
        <v>0.98</v>
      </c>
      <c r="P27" s="914">
        <f>100%+N38</f>
        <v>1.0925263157894736</v>
      </c>
      <c r="Q27" s="31">
        <v>1.07</v>
      </c>
    </row>
    <row r="28" spans="1:20">
      <c r="A28" s="329" t="s">
        <v>44</v>
      </c>
      <c r="B28" s="333"/>
      <c r="C28" s="332">
        <f>C27*3.6</f>
        <v>26484.380456746072</v>
      </c>
      <c r="D28" s="332">
        <f>D27*3.6</f>
        <v>2890.4803526562241</v>
      </c>
      <c r="E28" s="332">
        <f>E27*3.6</f>
        <v>1400.4660689046138</v>
      </c>
      <c r="F28" s="332">
        <f t="shared" ref="F28:G28" si="14">F27*3.6</f>
        <v>554.66477935661021</v>
      </c>
      <c r="G28" s="332">
        <f t="shared" si="14"/>
        <v>0</v>
      </c>
      <c r="H28" s="409">
        <v>1.1000000000000001</v>
      </c>
      <c r="I28" s="939">
        <f>100%+N42</f>
        <v>1.1266331393972688</v>
      </c>
      <c r="J28" s="913">
        <f>100%+N32</f>
        <v>1.2115789473684211</v>
      </c>
      <c r="K28" s="31">
        <v>1.18</v>
      </c>
      <c r="L28" s="31">
        <v>0.98</v>
      </c>
      <c r="N28" s="508"/>
      <c r="O28" s="508"/>
      <c r="P28" s="914">
        <f>100%+N37</f>
        <v>1.3469736842105262</v>
      </c>
      <c r="Q28" s="31">
        <v>1.1200000000000001</v>
      </c>
    </row>
    <row r="29" spans="1:20">
      <c r="A29" s="329" t="s">
        <v>44</v>
      </c>
      <c r="B29" s="328" t="s">
        <v>83</v>
      </c>
      <c r="C29" s="334">
        <f>C28*C25</f>
        <v>23835.942411071464</v>
      </c>
      <c r="D29" s="334">
        <f>0.9*D28</f>
        <v>2601.4323173906018</v>
      </c>
      <c r="E29" s="334">
        <f>0.9*E28</f>
        <v>1260.4194620141525</v>
      </c>
      <c r="F29" s="334">
        <f t="shared" ref="F29:G29" si="15">0.9*F28</f>
        <v>499.19830142094918</v>
      </c>
      <c r="G29" s="334">
        <f t="shared" si="15"/>
        <v>0</v>
      </c>
      <c r="H29" s="338"/>
      <c r="P29" s="311">
        <v>1.21</v>
      </c>
    </row>
    <row r="30" spans="1:20">
      <c r="L30" s="733" t="s">
        <v>50</v>
      </c>
      <c r="M30" s="732">
        <v>1997</v>
      </c>
      <c r="N30" s="733" t="s">
        <v>504</v>
      </c>
    </row>
    <row r="31" spans="1:20">
      <c r="L31" s="732">
        <f>M31-M30</f>
        <v>19</v>
      </c>
      <c r="M31" s="732">
        <v>2016</v>
      </c>
      <c r="N31" s="734">
        <f>BILANS!B8+BILANS!B9</f>
        <v>0.26800000000000002</v>
      </c>
    </row>
    <row r="32" spans="1:20">
      <c r="L32" s="732">
        <f>15</f>
        <v>15</v>
      </c>
      <c r="M32" s="732"/>
      <c r="N32" s="735">
        <f>L32/L31*N31</f>
        <v>0.21157894736842106</v>
      </c>
      <c r="O32" s="31"/>
    </row>
    <row r="33" spans="12:16">
      <c r="L33" s="732">
        <v>5</v>
      </c>
      <c r="M33" s="732"/>
      <c r="N33" s="735">
        <f>L33/L32*N32</f>
        <v>7.0526315789473687E-2</v>
      </c>
      <c r="O33" s="65"/>
      <c r="P33" s="510"/>
    </row>
    <row r="35" spans="12:16">
      <c r="L35" s="733" t="s">
        <v>505</v>
      </c>
      <c r="M35" s="732">
        <v>1997</v>
      </c>
      <c r="N35" s="733" t="s">
        <v>504</v>
      </c>
    </row>
    <row r="36" spans="12:16">
      <c r="L36" s="732">
        <f>M36-M35</f>
        <v>19</v>
      </c>
      <c r="M36" s="732">
        <v>2016</v>
      </c>
      <c r="N36" s="734">
        <f>BILANS!B30+BILANS!B31</f>
        <v>0.4395</v>
      </c>
    </row>
    <row r="37" spans="12:16">
      <c r="L37" s="732">
        <f>15</f>
        <v>15</v>
      </c>
      <c r="M37" s="732"/>
      <c r="N37" s="735">
        <f>L37/L36*N36</f>
        <v>0.34697368421052632</v>
      </c>
    </row>
    <row r="38" spans="12:16">
      <c r="L38" s="732">
        <v>5</v>
      </c>
      <c r="M38" s="732"/>
      <c r="N38" s="735">
        <f>L38/L37*N37*0.8</f>
        <v>9.2526315789473679E-2</v>
      </c>
      <c r="O38" s="31"/>
    </row>
    <row r="39" spans="12:16">
      <c r="O39" s="31"/>
    </row>
    <row r="40" spans="12:16">
      <c r="L40" s="733" t="s">
        <v>50</v>
      </c>
      <c r="M40" s="732">
        <v>1997</v>
      </c>
      <c r="N40" s="733" t="s">
        <v>504</v>
      </c>
    </row>
    <row r="41" spans="12:16">
      <c r="L41" s="732">
        <f>M41-M40</f>
        <v>19</v>
      </c>
      <c r="M41" s="732">
        <v>2016</v>
      </c>
      <c r="N41" s="734">
        <f>BILANS!B19+BILANS!B20</f>
        <v>0.16040197656987396</v>
      </c>
    </row>
    <row r="42" spans="12:16">
      <c r="L42" s="732">
        <f>15</f>
        <v>15</v>
      </c>
      <c r="M42" s="732"/>
      <c r="N42" s="735">
        <f>L42/L41*N41</f>
        <v>0.12663313939726892</v>
      </c>
    </row>
    <row r="43" spans="12:16">
      <c r="L43" s="732">
        <v>5</v>
      </c>
      <c r="M43" s="732"/>
      <c r="N43" s="735">
        <f>L43/L42*N42</f>
        <v>4.2211046465756304E-2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64"/>
  <sheetViews>
    <sheetView workbookViewId="0">
      <selection activeCell="C11" sqref="C11"/>
    </sheetView>
  </sheetViews>
  <sheetFormatPr defaultColWidth="9.140625" defaultRowHeight="12.75"/>
  <cols>
    <col min="1" max="3" width="9.140625" style="79"/>
    <col min="4" max="14" width="15.5703125" style="79" customWidth="1"/>
    <col min="15" max="15" width="11.5703125" style="79" customWidth="1"/>
    <col min="16" max="16" width="9.140625" style="79"/>
    <col min="17" max="17" width="9.7109375" style="79" bestFit="1" customWidth="1"/>
    <col min="18" max="18" width="9.7109375" style="79" customWidth="1"/>
    <col min="19" max="19" width="9.7109375" style="79" bestFit="1" customWidth="1"/>
    <col min="20" max="20" width="9.140625" style="79"/>
    <col min="21" max="21" width="11.85546875" style="79" customWidth="1"/>
    <col min="22" max="22" width="9.140625" style="79"/>
    <col min="23" max="24" width="10.42578125" style="79" customWidth="1"/>
    <col min="25" max="25" width="10.28515625" style="79" customWidth="1"/>
    <col min="26" max="26" width="12.85546875" style="79" customWidth="1"/>
    <col min="27" max="27" width="14.85546875" style="79" customWidth="1"/>
    <col min="28" max="28" width="26.85546875" style="79" customWidth="1"/>
    <col min="29" max="16384" width="9.140625" style="79"/>
  </cols>
  <sheetData>
    <row r="1" spans="1:31" ht="15.75">
      <c r="H1" s="79" t="s">
        <v>18</v>
      </c>
      <c r="T1" s="152">
        <v>65876</v>
      </c>
      <c r="U1" s="152">
        <v>31040</v>
      </c>
      <c r="Y1" s="79">
        <f>132500/614000</f>
        <v>0.21579804560260588</v>
      </c>
    </row>
    <row r="2" spans="1:31" ht="15.75">
      <c r="H2" s="79">
        <f>I2*I3*I4</f>
        <v>499.8</v>
      </c>
      <c r="I2" s="79">
        <v>42</v>
      </c>
      <c r="J2" s="84" t="s">
        <v>237</v>
      </c>
      <c r="O2" s="84" t="s">
        <v>62</v>
      </c>
      <c r="P2" s="79">
        <f>285600/2.6</f>
        <v>109846.15384615384</v>
      </c>
      <c r="T2" s="152">
        <v>24236</v>
      </c>
      <c r="U2" s="152">
        <v>11420</v>
      </c>
      <c r="Z2" s="84" t="s">
        <v>64</v>
      </c>
      <c r="AB2" s="79">
        <f>AD7*1.25</f>
        <v>0</v>
      </c>
      <c r="AC2" s="79">
        <f>AD7-AB2</f>
        <v>0</v>
      </c>
      <c r="AD2" s="79">
        <f>AC2/9000</f>
        <v>0</v>
      </c>
    </row>
    <row r="3" spans="1:31" ht="15.75">
      <c r="H3" s="79">
        <f>H2*0.7</f>
        <v>349.86</v>
      </c>
      <c r="I3" s="79">
        <v>14</v>
      </c>
      <c r="J3" s="79" t="s">
        <v>238</v>
      </c>
      <c r="O3" s="84" t="s">
        <v>63</v>
      </c>
      <c r="P3" s="153">
        <f>130170/3</f>
        <v>43390</v>
      </c>
    </row>
    <row r="4" spans="1:31">
      <c r="A4" s="170" t="s">
        <v>233</v>
      </c>
      <c r="C4" s="216" t="s">
        <v>236</v>
      </c>
      <c r="D4" s="217"/>
      <c r="E4" s="217"/>
      <c r="F4" s="217"/>
      <c r="I4" s="79">
        <v>0.85</v>
      </c>
      <c r="J4" s="79" t="s">
        <v>239</v>
      </c>
      <c r="P4" s="79">
        <f>SUM(P2:P3)</f>
        <v>153236.15384615384</v>
      </c>
      <c r="Q4" s="79">
        <f>P4/X7</f>
        <v>1.4103401248778832E-3</v>
      </c>
    </row>
    <row r="5" spans="1:31">
      <c r="A5" s="84" t="s">
        <v>234</v>
      </c>
      <c r="C5" s="216" t="s">
        <v>235</v>
      </c>
      <c r="D5" s="217"/>
      <c r="E5" s="217"/>
      <c r="F5" s="217"/>
      <c r="Z5" s="79">
        <f>Y7*0.3</f>
        <v>19222913.914554242</v>
      </c>
      <c r="AB5" s="84" t="s">
        <v>61</v>
      </c>
    </row>
    <row r="6" spans="1:31">
      <c r="X6" s="79" t="s">
        <v>51</v>
      </c>
      <c r="Y6" s="84" t="s">
        <v>44</v>
      </c>
      <c r="Z6" s="84" t="s">
        <v>46</v>
      </c>
      <c r="AA6" s="84" t="s">
        <v>59</v>
      </c>
      <c r="AB6" s="84" t="s">
        <v>205</v>
      </c>
      <c r="AC6" s="84" t="s">
        <v>52</v>
      </c>
    </row>
    <row r="7" spans="1:31">
      <c r="A7" s="144">
        <v>1</v>
      </c>
      <c r="B7" s="231"/>
      <c r="C7" s="231"/>
      <c r="D7" s="231">
        <v>2</v>
      </c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038">
        <v>3</v>
      </c>
      <c r="P7" s="1039"/>
      <c r="Q7" s="231">
        <v>4</v>
      </c>
      <c r="R7" s="154"/>
      <c r="T7" s="84" t="s">
        <v>45</v>
      </c>
      <c r="V7" s="84" t="s">
        <v>43</v>
      </c>
      <c r="X7" s="39">
        <f>82312056*1.2*1.1</f>
        <v>108651913.92000002</v>
      </c>
      <c r="Y7" s="155">
        <f>Q10*X7*0.0036</f>
        <v>64076379.715180807</v>
      </c>
      <c r="Z7" s="39"/>
      <c r="AA7" s="39"/>
      <c r="AB7" s="156">
        <f>(AA7+Z7+Y7)/0.8</f>
        <v>80095474.643976003</v>
      </c>
      <c r="AC7" s="79">
        <f>AB33/0.7</f>
        <v>0</v>
      </c>
      <c r="AD7" s="79">
        <f>AC7-AC7*0.1</f>
        <v>0</v>
      </c>
      <c r="AE7" s="84" t="s">
        <v>29</v>
      </c>
    </row>
    <row r="8" spans="1:31" ht="12.75" customHeight="1">
      <c r="A8" s="1040" t="s">
        <v>7</v>
      </c>
      <c r="B8" s="232"/>
      <c r="C8" s="232"/>
      <c r="D8" s="1054" t="s">
        <v>206</v>
      </c>
      <c r="E8" s="234" t="s">
        <v>207</v>
      </c>
      <c r="F8" s="234"/>
      <c r="G8" s="234"/>
      <c r="H8" s="234"/>
      <c r="I8" s="234"/>
      <c r="J8" s="234"/>
      <c r="K8" s="234"/>
      <c r="L8" s="234"/>
      <c r="M8" s="234"/>
      <c r="N8" s="1052" t="s">
        <v>38</v>
      </c>
      <c r="O8" s="1056" t="s">
        <v>9</v>
      </c>
      <c r="P8" s="1036"/>
      <c r="Q8" s="1052" t="s">
        <v>10</v>
      </c>
      <c r="R8" s="159"/>
      <c r="T8" s="84" t="s">
        <v>35</v>
      </c>
      <c r="W8" s="84" t="s">
        <v>64</v>
      </c>
      <c r="X8" s="79">
        <f>X7*0.25</f>
        <v>27162978.480000004</v>
      </c>
      <c r="Y8" s="79">
        <f>X8*D14*0.0036</f>
        <v>18188330.390208002</v>
      </c>
      <c r="Z8" s="79">
        <f>Y8*1.3</f>
        <v>23644829.507270403</v>
      </c>
      <c r="AA8" s="79">
        <f>Z8+35000</f>
        <v>23679829.507270403</v>
      </c>
      <c r="AB8" s="79">
        <f>AA8/0.75</f>
        <v>31573106.009693872</v>
      </c>
      <c r="AC8" s="79">
        <f>X8/0.7</f>
        <v>38804254.971428581</v>
      </c>
      <c r="AD8" s="79">
        <f>AC8-AC8*0.1</f>
        <v>34923829.474285722</v>
      </c>
      <c r="AE8" s="79">
        <f>AD8/9000</f>
        <v>3880.4254971428581</v>
      </c>
    </row>
    <row r="9" spans="1:31" ht="39" customHeight="1">
      <c r="A9" s="1041"/>
      <c r="B9" s="233"/>
      <c r="C9" s="233" t="s">
        <v>208</v>
      </c>
      <c r="D9" s="1055"/>
      <c r="E9" s="234"/>
      <c r="F9" s="161" t="s">
        <v>209</v>
      </c>
      <c r="G9" s="234" t="s">
        <v>210</v>
      </c>
      <c r="H9" s="162" t="s">
        <v>211</v>
      </c>
      <c r="I9" s="162" t="s">
        <v>212</v>
      </c>
      <c r="J9" s="234" t="s">
        <v>213</v>
      </c>
      <c r="K9" s="234" t="s">
        <v>214</v>
      </c>
      <c r="L9" s="234"/>
      <c r="M9" s="234" t="s">
        <v>215</v>
      </c>
      <c r="N9" s="1053"/>
      <c r="O9" s="1057"/>
      <c r="P9" s="1037"/>
      <c r="Q9" s="1053"/>
      <c r="R9" s="159"/>
      <c r="X9" s="79">
        <f>W27</f>
        <v>0</v>
      </c>
      <c r="Y9" s="79">
        <f>Q12*X9*0.0036</f>
        <v>0</v>
      </c>
      <c r="Z9" s="79">
        <f>Y9*1.3</f>
        <v>0</v>
      </c>
      <c r="AA9" s="79">
        <f>Z9+35000</f>
        <v>35000</v>
      </c>
      <c r="AB9" s="79">
        <f>AA9/0.75</f>
        <v>46666.666666666664</v>
      </c>
      <c r="AC9" s="79">
        <f>AB35/0.7</f>
        <v>0</v>
      </c>
      <c r="AD9" s="79">
        <f>AC9-AC9*0.1</f>
        <v>0</v>
      </c>
    </row>
    <row r="10" spans="1:31">
      <c r="A10" s="147" t="s">
        <v>11</v>
      </c>
      <c r="B10" s="147"/>
      <c r="C10" s="163">
        <v>0.1</v>
      </c>
      <c r="D10" s="164">
        <v>186</v>
      </c>
      <c r="E10" s="148">
        <v>115</v>
      </c>
      <c r="F10" s="165">
        <f>'OK MIESZK 2003 wskazn'!O4</f>
        <v>268975</v>
      </c>
      <c r="G10" s="166">
        <f>(1-C10)*F10</f>
        <v>242077.5</v>
      </c>
      <c r="H10" s="162">
        <f t="shared" ref="H10:H15" si="0">C10*F10</f>
        <v>26897.5</v>
      </c>
      <c r="I10" s="167">
        <f>C10*E10+(1-C10)*D10</f>
        <v>178.9</v>
      </c>
      <c r="J10" s="162">
        <f t="shared" ref="J10:K15" si="1">G10*D10*0.0036</f>
        <v>162095.09399999998</v>
      </c>
      <c r="K10" s="162">
        <f t="shared" si="1"/>
        <v>11135.565000000001</v>
      </c>
      <c r="L10" s="162">
        <f t="shared" ref="L10:L15" si="2">J10+K10</f>
        <v>173230.65899999999</v>
      </c>
      <c r="M10" s="162">
        <f>J10/0.7+K10/0.9</f>
        <v>243937.27</v>
      </c>
      <c r="N10" s="148" t="s">
        <v>57</v>
      </c>
      <c r="O10" s="230">
        <f t="shared" ref="O10:O15" si="3">F10/$F$16</f>
        <v>0.73962300468838083</v>
      </c>
      <c r="P10" s="230">
        <v>0.21750000000000003</v>
      </c>
      <c r="Q10" s="1048">
        <f>(I10+I11+I12+I13+I14+I15)/6</f>
        <v>163.81666666666666</v>
      </c>
      <c r="R10" s="168">
        <f>D19/1.3</f>
        <v>0.16730769230769232</v>
      </c>
      <c r="S10" s="79">
        <f t="shared" ref="S10:S15" si="4">D10*R10</f>
        <v>31.119230769230771</v>
      </c>
      <c r="T10" s="84" t="s">
        <v>30</v>
      </c>
      <c r="X10" s="79">
        <f>X7*1.39</f>
        <v>151026160.3488</v>
      </c>
      <c r="AB10" s="79">
        <f>AA10*1.1</f>
        <v>0</v>
      </c>
    </row>
    <row r="11" spans="1:31" ht="25.5">
      <c r="A11" s="148" t="s">
        <v>12</v>
      </c>
      <c r="B11" s="149"/>
      <c r="C11" s="169"/>
      <c r="D11" s="164">
        <v>186</v>
      </c>
      <c r="E11" s="148">
        <v>115</v>
      </c>
      <c r="F11" s="165" t="e">
        <f>F20*$F$16</f>
        <v>#REF!</v>
      </c>
      <c r="G11" s="166" t="e">
        <f>(1-C11)*F11</f>
        <v>#REF!</v>
      </c>
      <c r="H11" s="162" t="e">
        <f t="shared" si="0"/>
        <v>#REF!</v>
      </c>
      <c r="I11" s="167">
        <f>C11*E11+(1-C11)*D11</f>
        <v>186</v>
      </c>
      <c r="J11" s="162" t="e">
        <f t="shared" si="1"/>
        <v>#REF!</v>
      </c>
      <c r="K11" s="162" t="e">
        <f t="shared" si="1"/>
        <v>#REF!</v>
      </c>
      <c r="L11" s="162" t="e">
        <f t="shared" si="2"/>
        <v>#REF!</v>
      </c>
      <c r="M11" s="162" t="e">
        <f>J11/0.7+K11/0.9</f>
        <v>#REF!</v>
      </c>
      <c r="N11" s="148" t="s">
        <v>39</v>
      </c>
      <c r="O11" s="230" t="e">
        <f t="shared" si="3"/>
        <v>#REF!</v>
      </c>
      <c r="P11" s="230">
        <v>1.2175</v>
      </c>
      <c r="Q11" s="1049"/>
      <c r="R11" s="168">
        <f>D20/1.3</f>
        <v>0.15040384615384617</v>
      </c>
      <c r="S11" s="79">
        <f t="shared" si="4"/>
        <v>27.975115384615385</v>
      </c>
      <c r="T11" s="84" t="s">
        <v>36</v>
      </c>
      <c r="U11" s="79">
        <v>1.3</v>
      </c>
      <c r="V11" s="79" t="e">
        <f>O11*U11</f>
        <v>#REF!</v>
      </c>
      <c r="W11" s="79" t="e">
        <f>$X$7*V11</f>
        <v>#REF!</v>
      </c>
      <c r="Z11" s="170" t="s">
        <v>216</v>
      </c>
      <c r="AA11" s="156">
        <f>AB7/1.05</f>
        <v>76281404.422834292</v>
      </c>
      <c r="AB11" s="79">
        <f>AA11*1.1</f>
        <v>83909544.865117729</v>
      </c>
    </row>
    <row r="12" spans="1:31" ht="25.5">
      <c r="A12" s="150" t="s">
        <v>13</v>
      </c>
      <c r="B12" s="150"/>
      <c r="C12" s="171"/>
      <c r="D12" s="164">
        <v>186</v>
      </c>
      <c r="E12" s="148">
        <v>115</v>
      </c>
      <c r="F12" s="165" t="e">
        <f>F21*$F$16</f>
        <v>#REF!</v>
      </c>
      <c r="G12" s="166" t="e">
        <f>(1-C12)*F12</f>
        <v>#REF!</v>
      </c>
      <c r="H12" s="162" t="e">
        <f t="shared" si="0"/>
        <v>#REF!</v>
      </c>
      <c r="I12" s="167">
        <f>C12*E12+(1-C12)*D12</f>
        <v>186</v>
      </c>
      <c r="J12" s="162" t="e">
        <f t="shared" si="1"/>
        <v>#REF!</v>
      </c>
      <c r="K12" s="162" t="e">
        <f t="shared" si="1"/>
        <v>#REF!</v>
      </c>
      <c r="L12" s="162" t="e">
        <f t="shared" si="2"/>
        <v>#REF!</v>
      </c>
      <c r="M12" s="162" t="e">
        <f>J12/0.7+K12/0.9</f>
        <v>#REF!</v>
      </c>
      <c r="N12" s="148" t="s">
        <v>40</v>
      </c>
      <c r="O12" s="230" t="e">
        <f t="shared" si="3"/>
        <v>#REF!</v>
      </c>
      <c r="P12" s="230">
        <v>2.2174999999999998</v>
      </c>
      <c r="Q12" s="1049"/>
      <c r="R12" s="168">
        <f>D21/1.3</f>
        <v>0.10063461538461538</v>
      </c>
      <c r="S12" s="79">
        <f t="shared" si="4"/>
        <v>18.718038461538459</v>
      </c>
      <c r="T12" s="84" t="s">
        <v>32</v>
      </c>
      <c r="U12" s="79">
        <v>1</v>
      </c>
      <c r="V12" s="79" t="e">
        <f>O12*U12</f>
        <v>#REF!</v>
      </c>
      <c r="W12" s="79" t="e">
        <f>$X$7*V12</f>
        <v>#REF!</v>
      </c>
      <c r="AB12" s="79">
        <f>AA12*1.1</f>
        <v>0</v>
      </c>
    </row>
    <row r="13" spans="1:31" ht="25.5">
      <c r="A13" s="150" t="s">
        <v>217</v>
      </c>
      <c r="B13" s="150"/>
      <c r="C13" s="171"/>
      <c r="D13" s="164">
        <v>186</v>
      </c>
      <c r="E13" s="148">
        <v>115</v>
      </c>
      <c r="F13" s="165" t="e">
        <f>F22*$F$16</f>
        <v>#REF!</v>
      </c>
      <c r="G13" s="166" t="e">
        <f>(1-C13)*F13</f>
        <v>#REF!</v>
      </c>
      <c r="H13" s="162" t="e">
        <f t="shared" si="0"/>
        <v>#REF!</v>
      </c>
      <c r="I13" s="167">
        <f>C13*E13+(1-C13)*D13</f>
        <v>186</v>
      </c>
      <c r="J13" s="162" t="e">
        <f t="shared" si="1"/>
        <v>#REF!</v>
      </c>
      <c r="K13" s="162" t="e">
        <f t="shared" si="1"/>
        <v>#REF!</v>
      </c>
      <c r="L13" s="162" t="e">
        <f t="shared" si="2"/>
        <v>#REF!</v>
      </c>
      <c r="M13" s="162" t="e">
        <f>J13/0.7+K13/0.9</f>
        <v>#REF!</v>
      </c>
      <c r="N13" s="148" t="s">
        <v>41</v>
      </c>
      <c r="O13" s="1058" t="e">
        <f t="shared" si="3"/>
        <v>#REF!</v>
      </c>
      <c r="P13" s="1059">
        <v>3.2174999999999998</v>
      </c>
      <c r="Q13" s="1049"/>
      <c r="R13" s="168">
        <f>D22/1.3</f>
        <v>9.1730769230769227E-2</v>
      </c>
      <c r="S13" s="79">
        <f t="shared" si="4"/>
        <v>17.061923076923076</v>
      </c>
      <c r="T13" s="84" t="s">
        <v>33</v>
      </c>
      <c r="U13" s="79">
        <v>0.8</v>
      </c>
      <c r="V13" s="79" t="e">
        <f>O13*U13</f>
        <v>#REF!</v>
      </c>
      <c r="W13" s="79" t="e">
        <f>$X$7*V13</f>
        <v>#REF!</v>
      </c>
      <c r="AA13" s="79">
        <f>70400+Y7+45000</f>
        <v>64191779.715180807</v>
      </c>
      <c r="AB13" s="79">
        <f>AA13*1.1</f>
        <v>70610957.686698899</v>
      </c>
      <c r="AC13" s="79" t="s">
        <v>47</v>
      </c>
    </row>
    <row r="14" spans="1:31" ht="15">
      <c r="A14" s="150" t="s">
        <v>15</v>
      </c>
      <c r="B14" s="150"/>
      <c r="C14" s="172"/>
      <c r="D14" s="164">
        <v>186</v>
      </c>
      <c r="E14" s="148">
        <v>115</v>
      </c>
      <c r="F14" s="165" t="e">
        <f>F23*$F$16</f>
        <v>#REF!</v>
      </c>
      <c r="G14" s="166" t="e">
        <f>(1-C14)*F14</f>
        <v>#REF!</v>
      </c>
      <c r="H14" s="162" t="e">
        <f t="shared" si="0"/>
        <v>#REF!</v>
      </c>
      <c r="I14" s="167">
        <f>C14*E14+(1-C14)*D14</f>
        <v>186</v>
      </c>
      <c r="J14" s="162" t="e">
        <f t="shared" si="1"/>
        <v>#REF!</v>
      </c>
      <c r="K14" s="162" t="e">
        <f t="shared" si="1"/>
        <v>#REF!</v>
      </c>
      <c r="L14" s="162" t="e">
        <f t="shared" si="2"/>
        <v>#REF!</v>
      </c>
      <c r="M14" s="162" t="e">
        <f>J14/0.7+K14/0.9</f>
        <v>#REF!</v>
      </c>
      <c r="N14" s="148" t="s">
        <v>42</v>
      </c>
      <c r="O14" s="1058" t="e">
        <f t="shared" si="3"/>
        <v>#REF!</v>
      </c>
      <c r="P14" s="1059">
        <v>4.2175000000000002</v>
      </c>
      <c r="Q14" s="1049"/>
      <c r="R14" s="168">
        <f>D23/1.3</f>
        <v>0.25915384615384612</v>
      </c>
      <c r="S14" s="79">
        <f t="shared" si="4"/>
        <v>48.202615384615378</v>
      </c>
      <c r="U14" s="79">
        <v>0.35</v>
      </c>
      <c r="V14" s="79" t="e">
        <f>O14*U14</f>
        <v>#REF!</v>
      </c>
      <c r="W14" s="79" t="e">
        <f>$X$7*V14</f>
        <v>#REF!</v>
      </c>
      <c r="AB14" s="40">
        <v>434483.9</v>
      </c>
    </row>
    <row r="15" spans="1:31" ht="25.5">
      <c r="A15" s="10" t="s">
        <v>218</v>
      </c>
      <c r="B15" s="10"/>
      <c r="C15" s="10"/>
      <c r="D15" s="173">
        <v>60</v>
      </c>
      <c r="E15" s="148"/>
      <c r="F15" s="174"/>
      <c r="G15" s="166"/>
      <c r="H15" s="162">
        <f t="shared" si="0"/>
        <v>0</v>
      </c>
      <c r="I15" s="167">
        <v>60</v>
      </c>
      <c r="J15" s="162">
        <f t="shared" si="1"/>
        <v>0</v>
      </c>
      <c r="K15" s="162">
        <f t="shared" si="1"/>
        <v>0</v>
      </c>
      <c r="L15" s="162">
        <f t="shared" si="2"/>
        <v>0</v>
      </c>
      <c r="M15" s="162">
        <f>J15/0.9+K15/0.9</f>
        <v>0</v>
      </c>
      <c r="N15" s="162" t="s">
        <v>219</v>
      </c>
      <c r="O15" s="1058">
        <f t="shared" si="3"/>
        <v>0</v>
      </c>
      <c r="P15" s="1059">
        <v>5.2175000000000002</v>
      </c>
      <c r="Q15" s="1049"/>
      <c r="R15" s="168">
        <v>0.09</v>
      </c>
      <c r="S15" s="79">
        <f t="shared" si="4"/>
        <v>5.3999999999999995</v>
      </c>
      <c r="T15" s="175">
        <v>0.35</v>
      </c>
      <c r="W15" s="79" t="e">
        <f>SUM(W11:W14)</f>
        <v>#REF!</v>
      </c>
      <c r="Y15" s="79" t="e">
        <f>Y7/W15</f>
        <v>#REF!</v>
      </c>
      <c r="AB15" s="79">
        <f>AB14*1000</f>
        <v>434483900</v>
      </c>
      <c r="AC15" s="79">
        <f>AB7/AB15</f>
        <v>0.18434624308052841</v>
      </c>
    </row>
    <row r="16" spans="1:31">
      <c r="D16" s="79" t="s">
        <v>220</v>
      </c>
      <c r="E16" s="162"/>
      <c r="F16" s="176">
        <f>'OK MIESZK 2003 wskazn'!K22</f>
        <v>363665</v>
      </c>
      <c r="G16" s="162"/>
      <c r="H16" s="162"/>
      <c r="I16" s="162"/>
      <c r="J16" s="177" t="e">
        <f>SUM(J10:J15)</f>
        <v>#REF!</v>
      </c>
      <c r="K16" s="177" t="e">
        <f>SUM(K10:K15)</f>
        <v>#REF!</v>
      </c>
      <c r="L16" s="227" t="e">
        <f>SUM(L10:L15)</f>
        <v>#REF!</v>
      </c>
      <c r="M16" s="162" t="e">
        <f>SUM(M10:M15)</f>
        <v>#REF!</v>
      </c>
      <c r="N16" s="162"/>
      <c r="O16" s="1050" t="e">
        <f>O10+O11+O12+O13+O14+O15</f>
        <v>#REF!</v>
      </c>
      <c r="P16" s="1060"/>
      <c r="S16" s="79">
        <f>SUM(S10:S15)</f>
        <v>148.47692307692307</v>
      </c>
      <c r="T16" s="178">
        <f>T15/1.1</f>
        <v>0.31818181818181812</v>
      </c>
      <c r="AB16" s="79">
        <f>AB7*0.25</f>
        <v>20023868.660994001</v>
      </c>
    </row>
    <row r="17" spans="4:29">
      <c r="AB17" s="79">
        <v>20000000</v>
      </c>
    </row>
    <row r="18" spans="4:29" ht="15">
      <c r="J18" s="114" t="s">
        <v>221</v>
      </c>
      <c r="K18" s="179" t="e">
        <f>J16+K16</f>
        <v>#REF!</v>
      </c>
      <c r="L18" s="179"/>
      <c r="M18" s="180" t="e">
        <f>M16</f>
        <v>#REF!</v>
      </c>
      <c r="Q18" s="79" t="s">
        <v>222</v>
      </c>
      <c r="U18" s="181"/>
      <c r="V18" s="181" t="s">
        <v>223</v>
      </c>
      <c r="W18" s="181"/>
      <c r="X18" s="181"/>
      <c r="AA18" s="113" t="s">
        <v>224</v>
      </c>
      <c r="AB18" s="182">
        <v>17733.400000000001</v>
      </c>
      <c r="AC18" s="79">
        <f>AB18/AB7</f>
        <v>2.2140327002024619E-4</v>
      </c>
    </row>
    <row r="19" spans="4:29" ht="13.5" thickBot="1">
      <c r="D19" s="183">
        <v>0.21750000000000003</v>
      </c>
      <c r="E19" s="183"/>
      <c r="F19" s="1045" t="e">
        <f>#REF!</f>
        <v>#REF!</v>
      </c>
      <c r="G19" s="1046"/>
      <c r="H19" s="183"/>
      <c r="I19" s="183"/>
      <c r="J19" s="183"/>
      <c r="K19" s="183"/>
      <c r="L19" s="183"/>
      <c r="M19" s="183"/>
      <c r="N19" s="183"/>
      <c r="P19" s="84"/>
      <c r="Q19" s="79">
        <v>82312056</v>
      </c>
      <c r="R19" s="79">
        <f>Q19*1.2</f>
        <v>98774467.200000003</v>
      </c>
      <c r="S19" s="84"/>
      <c r="U19" s="84" t="s">
        <v>225</v>
      </c>
    </row>
    <row r="20" spans="4:29" ht="13.5" thickBot="1">
      <c r="D20" s="183">
        <v>0.195525</v>
      </c>
      <c r="E20" s="183"/>
      <c r="F20" s="1045" t="e">
        <f>#REF!</f>
        <v>#REF!</v>
      </c>
      <c r="G20" s="1046"/>
      <c r="H20" s="183"/>
      <c r="I20" s="218"/>
      <c r="J20" s="183"/>
      <c r="K20" s="183"/>
      <c r="L20" s="183"/>
      <c r="M20" s="183"/>
      <c r="N20" s="183"/>
      <c r="P20" s="184"/>
      <c r="R20" s="79">
        <f>R19*1.1</f>
        <v>108651913.92000002</v>
      </c>
      <c r="S20" s="185"/>
    </row>
    <row r="21" spans="4:29" ht="13.5" thickBot="1">
      <c r="D21" s="183">
        <v>0.130825</v>
      </c>
      <c r="E21" s="183"/>
      <c r="F21" s="1045" t="e">
        <f>#REF!</f>
        <v>#REF!</v>
      </c>
      <c r="G21" s="1046"/>
      <c r="H21" s="183"/>
      <c r="I21" s="183"/>
      <c r="J21" s="183"/>
      <c r="K21" s="183"/>
      <c r="L21" s="183"/>
      <c r="M21" s="183"/>
      <c r="N21" s="183"/>
      <c r="P21" s="78"/>
      <c r="Q21" s="79">
        <f>R20-R19</f>
        <v>9877446.7200000137</v>
      </c>
      <c r="R21" s="79">
        <f>Q21/R20</f>
        <v>9.0909090909091023E-2</v>
      </c>
      <c r="S21" s="186"/>
      <c r="U21" s="79">
        <v>284018</v>
      </c>
      <c r="W21" s="84" t="s">
        <v>54</v>
      </c>
    </row>
    <row r="22" spans="4:29" ht="15.75" thickBot="1">
      <c r="D22" s="183">
        <v>0.11924999999999999</v>
      </c>
      <c r="E22" s="183"/>
      <c r="F22" s="1045" t="e">
        <f>#REF!</f>
        <v>#REF!</v>
      </c>
      <c r="G22" s="1046"/>
      <c r="H22" s="183"/>
      <c r="I22" s="183"/>
      <c r="J22" s="183"/>
      <c r="K22" s="183"/>
      <c r="L22" s="183"/>
      <c r="M22" s="183"/>
      <c r="N22" s="183"/>
      <c r="P22" s="78"/>
      <c r="S22" s="186"/>
      <c r="V22" s="170" t="s">
        <v>226</v>
      </c>
      <c r="W22" s="187">
        <v>158240.9</v>
      </c>
      <c r="X22" s="188">
        <f>W22/$W$25</f>
        <v>0.11241553946172897</v>
      </c>
      <c r="Y22" s="114">
        <v>35</v>
      </c>
      <c r="Z22" s="114">
        <v>25</v>
      </c>
    </row>
    <row r="23" spans="4:29" ht="13.5" thickBot="1">
      <c r="D23" s="183">
        <v>0.33689999999999998</v>
      </c>
      <c r="E23" s="183"/>
      <c r="F23" s="1045" t="e">
        <f>#REF!</f>
        <v>#REF!</v>
      </c>
      <c r="G23" s="1046"/>
      <c r="H23" s="183"/>
      <c r="I23" s="183"/>
      <c r="J23" s="183"/>
      <c r="K23" s="183"/>
      <c r="L23" s="183"/>
      <c r="M23" s="183"/>
      <c r="N23" s="183">
        <f>39*0.8</f>
        <v>31.200000000000003</v>
      </c>
      <c r="P23" s="78"/>
      <c r="S23" s="186"/>
      <c r="V23" s="170" t="s">
        <v>227</v>
      </c>
      <c r="W23" s="189">
        <v>79103.679999999993</v>
      </c>
      <c r="X23" s="188">
        <f>W23/$W$25</f>
        <v>5.6195856195256605E-2</v>
      </c>
      <c r="Y23" s="114">
        <v>5</v>
      </c>
      <c r="Z23" s="114">
        <v>15</v>
      </c>
      <c r="AB23" s="79">
        <f>0.25*AB7</f>
        <v>20023868.660994001</v>
      </c>
    </row>
    <row r="24" spans="4:29" ht="13.5" thickBot="1">
      <c r="P24" s="78"/>
      <c r="S24" s="186"/>
      <c r="V24" s="170" t="s">
        <v>228</v>
      </c>
      <c r="W24" s="190">
        <v>1170298</v>
      </c>
      <c r="X24" s="188">
        <f>W24/$W$25</f>
        <v>0.83138860434301431</v>
      </c>
      <c r="Y24" s="114">
        <v>55</v>
      </c>
      <c r="Z24" s="114">
        <v>60</v>
      </c>
    </row>
    <row r="25" spans="4:29" ht="13.5" thickBot="1">
      <c r="P25" s="78"/>
      <c r="S25" s="186"/>
      <c r="W25" s="39">
        <f>SUM(W22:W24)</f>
        <v>1407642.58</v>
      </c>
      <c r="Y25" s="84" t="s">
        <v>55</v>
      </c>
    </row>
    <row r="26" spans="4:29" ht="13.5" thickBot="1">
      <c r="P26" s="78"/>
      <c r="S26" s="186"/>
      <c r="Y26" s="79" t="s">
        <v>56</v>
      </c>
    </row>
    <row r="27" spans="4:29" ht="13.5" thickBot="1">
      <c r="P27" s="78"/>
      <c r="U27" s="79">
        <f>18/70</f>
        <v>0.25714285714285712</v>
      </c>
    </row>
    <row r="28" spans="4:29" ht="13.5" thickBot="1">
      <c r="P28" s="78"/>
      <c r="X28" s="170" t="s">
        <v>229</v>
      </c>
      <c r="Y28" s="39">
        <f>Y30/AB7</f>
        <v>4.5543896408813608E-3</v>
      </c>
      <c r="AA28" s="170" t="s">
        <v>230</v>
      </c>
      <c r="AB28" s="39">
        <f>S41/X7</f>
        <v>4.4390290294851337E-3</v>
      </c>
    </row>
    <row r="29" spans="4:29" ht="13.5" thickBot="1">
      <c r="P29" s="78"/>
    </row>
    <row r="30" spans="4:29" ht="13.5" thickBot="1">
      <c r="P30" s="78"/>
      <c r="Q30" s="79" t="s">
        <v>18</v>
      </c>
      <c r="S30" s="191">
        <v>356729</v>
      </c>
      <c r="T30" s="192">
        <v>4809</v>
      </c>
      <c r="U30" s="192">
        <v>2549</v>
      </c>
      <c r="V30" s="192">
        <v>183</v>
      </c>
      <c r="W30" s="192">
        <v>235</v>
      </c>
      <c r="X30" s="192">
        <v>281</v>
      </c>
      <c r="Y30" s="193">
        <f>S30+T30+U30+V30+W30+X30</f>
        <v>364786</v>
      </c>
      <c r="Z30" s="84" t="s">
        <v>18</v>
      </c>
    </row>
    <row r="31" spans="4:29" ht="13.5" thickBot="1">
      <c r="P31" s="78"/>
      <c r="Q31" s="79" t="s">
        <v>29</v>
      </c>
      <c r="T31" s="79">
        <v>1.1000000000000001</v>
      </c>
      <c r="U31" s="79">
        <v>0.32</v>
      </c>
      <c r="V31" s="79">
        <v>5.8000000000000003E-2</v>
      </c>
      <c r="W31" s="178">
        <v>0.14000000000000001</v>
      </c>
      <c r="X31" s="178">
        <v>0.14000000000000001</v>
      </c>
      <c r="Y31" s="193">
        <f>S31+T31+U31+V31+W31+X31</f>
        <v>1.7580000000000005</v>
      </c>
      <c r="Z31" s="79" t="s">
        <v>231</v>
      </c>
    </row>
    <row r="32" spans="4:29">
      <c r="S32" s="175">
        <f>S30+T30</f>
        <v>361538</v>
      </c>
      <c r="T32" s="175">
        <f>T30+U30+V30+W30+X30</f>
        <v>8057</v>
      </c>
      <c r="U32" s="79">
        <v>1.76</v>
      </c>
    </row>
    <row r="33" spans="16:29" ht="13.5" thickBot="1">
      <c r="T33" s="79">
        <f>T32*U33/U32</f>
        <v>18311.363636363636</v>
      </c>
      <c r="U33" s="178">
        <v>4</v>
      </c>
    </row>
    <row r="34" spans="16:29" ht="15.75" thickBot="1">
      <c r="S34" s="194">
        <v>384453</v>
      </c>
      <c r="W34" s="195"/>
      <c r="X34" s="195"/>
      <c r="Z34" s="195"/>
    </row>
    <row r="35" spans="16:29" ht="15.75" thickBot="1">
      <c r="Q35" s="196"/>
      <c r="R35" s="197"/>
      <c r="S35" s="198">
        <v>2209</v>
      </c>
      <c r="U35" s="195"/>
      <c r="W35" s="199"/>
      <c r="X35" s="199"/>
      <c r="Z35" s="199"/>
    </row>
    <row r="36" spans="16:29" ht="15.75" thickBot="1">
      <c r="Q36" s="197"/>
      <c r="R36" s="197"/>
      <c r="S36" s="200">
        <v>391</v>
      </c>
      <c r="U36" s="199"/>
      <c r="W36" s="201"/>
      <c r="X36" s="199"/>
      <c r="Z36" s="199"/>
    </row>
    <row r="37" spans="16:29" ht="15.75" thickBot="1">
      <c r="Q37" s="202"/>
      <c r="R37" s="202"/>
      <c r="S37" s="198">
        <v>1234</v>
      </c>
      <c r="U37" s="199"/>
      <c r="X37" s="199"/>
      <c r="Z37" s="199"/>
    </row>
    <row r="38" spans="16:29" ht="15.75" thickBot="1">
      <c r="Q38" s="197"/>
      <c r="R38" s="197"/>
      <c r="S38" s="198">
        <v>64963</v>
      </c>
      <c r="U38" s="199"/>
      <c r="X38" s="201"/>
      <c r="Z38" s="201"/>
      <c r="AB38" s="170" t="s">
        <v>232</v>
      </c>
      <c r="AC38" s="39">
        <v>8.357808898857743E-3</v>
      </c>
    </row>
    <row r="39" spans="16:29" ht="15.75" thickBot="1">
      <c r="Q39" s="202"/>
      <c r="R39" s="202"/>
      <c r="S39" s="198">
        <v>1467</v>
      </c>
      <c r="U39" s="199"/>
    </row>
    <row r="40" spans="16:29" ht="15.75" thickBot="1">
      <c r="Q40" s="155"/>
      <c r="R40" s="155"/>
      <c r="S40" s="198">
        <v>27592</v>
      </c>
      <c r="U40" s="199"/>
    </row>
    <row r="41" spans="16:29" ht="15.75" thickBot="1">
      <c r="S41" s="155">
        <f>SUM(S34:S40)</f>
        <v>482309</v>
      </c>
      <c r="U41" s="199"/>
      <c r="W41" s="203">
        <v>69770</v>
      </c>
      <c r="X41" s="204">
        <v>1100</v>
      </c>
      <c r="Y41" s="204">
        <v>320</v>
      </c>
      <c r="Z41" s="204">
        <v>58</v>
      </c>
      <c r="AA41" s="204">
        <v>140</v>
      </c>
      <c r="AB41" s="204">
        <v>140</v>
      </c>
      <c r="AC41" s="79">
        <f>(W41+X41+Y41+Z41+AA41+AB41)/1000</f>
        <v>71.528000000000006</v>
      </c>
    </row>
    <row r="42" spans="16:29" ht="15.75" thickBot="1">
      <c r="P42" s="84"/>
      <c r="U42" s="199"/>
    </row>
    <row r="43" spans="16:29" ht="16.5" thickBot="1">
      <c r="P43" s="84"/>
      <c r="Q43" s="153"/>
      <c r="R43" s="153"/>
      <c r="U43" s="199"/>
    </row>
    <row r="44" spans="16:29" ht="15.75" thickBot="1">
      <c r="U44" s="205"/>
    </row>
    <row r="53" spans="4:22" ht="13.5" thickBot="1"/>
    <row r="54" spans="4:22" ht="16.5" thickBot="1">
      <c r="O54" s="206">
        <v>273.10000000000002</v>
      </c>
      <c r="Q54" s="206">
        <v>2671</v>
      </c>
      <c r="R54" s="207"/>
    </row>
    <row r="55" spans="4:22" ht="16.5" thickBot="1">
      <c r="O55" s="208">
        <v>117.4</v>
      </c>
      <c r="Q55" s="208">
        <v>208</v>
      </c>
      <c r="R55" s="207"/>
    </row>
    <row r="56" spans="4:22" ht="16.5" thickBot="1">
      <c r="O56" s="208">
        <v>405.7</v>
      </c>
      <c r="Q56" s="208">
        <v>157</v>
      </c>
      <c r="R56" s="207"/>
      <c r="U56" s="209">
        <v>64.8</v>
      </c>
      <c r="V56" s="210">
        <v>15151.4</v>
      </c>
    </row>
    <row r="57" spans="4:22" ht="16.5" thickBot="1">
      <c r="O57" s="208">
        <v>75.7</v>
      </c>
      <c r="Q57" s="208">
        <v>8</v>
      </c>
      <c r="R57" s="207"/>
      <c r="U57" s="211">
        <v>8.57</v>
      </c>
      <c r="V57" s="212">
        <v>775.3</v>
      </c>
    </row>
    <row r="58" spans="4:22" ht="16.5" thickBot="1">
      <c r="O58" s="208">
        <v>149.6</v>
      </c>
      <c r="Q58" s="208">
        <v>3</v>
      </c>
      <c r="R58" s="207"/>
      <c r="U58" s="211">
        <v>19.97</v>
      </c>
      <c r="V58" s="212">
        <v>4631.7</v>
      </c>
    </row>
    <row r="59" spans="4:22" ht="16.5" thickBot="1">
      <c r="O59" s="208" t="s">
        <v>58</v>
      </c>
      <c r="Q59" s="208">
        <v>0</v>
      </c>
      <c r="R59" s="207"/>
      <c r="U59" s="213">
        <v>42.16</v>
      </c>
      <c r="V59" s="214">
        <v>14655</v>
      </c>
    </row>
    <row r="60" spans="4:22" ht="16.5" thickBot="1">
      <c r="O60" s="208" t="s">
        <v>58</v>
      </c>
      <c r="Q60" s="208">
        <v>0</v>
      </c>
      <c r="R60" s="207"/>
      <c r="U60" s="79">
        <f>SUM(U56:U59)</f>
        <v>135.5</v>
      </c>
      <c r="V60" s="79">
        <f>SUM(V56:V59)</f>
        <v>35213.399999999994</v>
      </c>
    </row>
    <row r="61" spans="4:22" ht="16.5" thickBot="1">
      <c r="O61" s="208">
        <v>650</v>
      </c>
      <c r="Q61" s="208">
        <v>1</v>
      </c>
      <c r="R61" s="207"/>
    </row>
    <row r="62" spans="4:22" ht="16.5" thickBot="1">
      <c r="D62" s="79">
        <f>O62/N62</f>
        <v>11.569847442416991</v>
      </c>
      <c r="N62" s="79">
        <f>SUM(O54:O61)</f>
        <v>1671.5</v>
      </c>
      <c r="O62" s="215">
        <v>19339</v>
      </c>
      <c r="Q62" s="208">
        <v>0</v>
      </c>
      <c r="R62" s="207"/>
    </row>
    <row r="63" spans="4:22" ht="16.5" thickBot="1">
      <c r="Q63" s="208">
        <v>1</v>
      </c>
      <c r="R63" s="207"/>
    </row>
    <row r="64" spans="4:22">
      <c r="O64" s="79">
        <f>SUM(O54:O62)</f>
        <v>21010.5</v>
      </c>
      <c r="Q64" s="79">
        <f>SUM(Q54:Q63)</f>
        <v>3049</v>
      </c>
    </row>
  </sheetData>
  <mergeCells count="16">
    <mergeCell ref="F23:G23"/>
    <mergeCell ref="Q10:Q15"/>
    <mergeCell ref="O13:P13"/>
    <mergeCell ref="O14:P14"/>
    <mergeCell ref="O15:P15"/>
    <mergeCell ref="O16:P16"/>
    <mergeCell ref="F19:G19"/>
    <mergeCell ref="F20:G20"/>
    <mergeCell ref="F21:G21"/>
    <mergeCell ref="F22:G22"/>
    <mergeCell ref="Q8:Q9"/>
    <mergeCell ref="O7:P7"/>
    <mergeCell ref="A8:A9"/>
    <mergeCell ref="D8:D9"/>
    <mergeCell ref="N8:N9"/>
    <mergeCell ref="O8:P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3"/>
  <sheetViews>
    <sheetView workbookViewId="0"/>
  </sheetViews>
  <sheetFormatPr defaultColWidth="9.140625" defaultRowHeight="12.75"/>
  <cols>
    <col min="1" max="1" width="9.140625" style="178"/>
    <col min="2" max="2" width="15.5703125" style="178" customWidth="1"/>
    <col min="3" max="3" width="12.42578125" style="178" customWidth="1"/>
    <col min="4" max="4" width="11.5703125" style="178" customWidth="1"/>
    <col min="5" max="8" width="9.140625" style="178"/>
    <col min="9" max="9" width="11.85546875" style="178" customWidth="1"/>
    <col min="10" max="10" width="9.140625" style="178"/>
    <col min="11" max="14" width="13.5703125" style="178" bestFit="1" customWidth="1"/>
    <col min="15" max="15" width="14.85546875" style="178" customWidth="1"/>
    <col min="16" max="16" width="13.5703125" style="178" bestFit="1" customWidth="1"/>
    <col min="17" max="17" width="9.140625" style="178"/>
    <col min="18" max="18" width="12.42578125" style="178" bestFit="1" customWidth="1"/>
    <col min="19" max="19" width="13.5703125" style="178" bestFit="1" customWidth="1"/>
    <col min="20" max="16384" width="9.140625" style="178"/>
  </cols>
  <sheetData>
    <row r="1" spans="1:19" ht="15.75">
      <c r="H1" s="291"/>
      <c r="I1" s="291"/>
    </row>
    <row r="2" spans="1:19" ht="15.75">
      <c r="D2" s="104"/>
      <c r="H2" s="291"/>
      <c r="I2" s="291"/>
      <c r="N2" s="104"/>
    </row>
    <row r="3" spans="1:19" ht="15.75">
      <c r="D3" s="104"/>
      <c r="E3" s="292"/>
    </row>
    <row r="5" spans="1:19">
      <c r="P5" s="293"/>
    </row>
    <row r="6" spans="1:19">
      <c r="M6" s="293"/>
      <c r="N6" s="293"/>
      <c r="O6" s="293"/>
      <c r="P6" s="293"/>
      <c r="Q6" s="293"/>
    </row>
    <row r="7" spans="1:19">
      <c r="A7" s="154"/>
      <c r="B7" s="154"/>
      <c r="C7" s="154"/>
      <c r="D7" s="1062"/>
      <c r="E7" s="1062"/>
      <c r="F7" s="154"/>
      <c r="H7" s="293"/>
      <c r="J7" s="293"/>
      <c r="L7" s="294"/>
      <c r="M7" s="294"/>
      <c r="P7" s="295"/>
      <c r="S7" s="104"/>
    </row>
    <row r="8" spans="1:19">
      <c r="A8" s="1061"/>
      <c r="B8" s="1061"/>
      <c r="C8" s="1061"/>
      <c r="D8" s="1061"/>
      <c r="E8" s="1061"/>
      <c r="F8" s="1061"/>
      <c r="H8" s="293"/>
      <c r="K8" s="104"/>
    </row>
    <row r="9" spans="1:19">
      <c r="A9" s="1061"/>
      <c r="B9" s="1061"/>
      <c r="C9" s="1061"/>
      <c r="D9" s="1061"/>
      <c r="E9" s="1061"/>
      <c r="F9" s="1061"/>
    </row>
    <row r="10" spans="1:19">
      <c r="A10" s="10"/>
      <c r="B10" s="10"/>
      <c r="C10" s="10"/>
      <c r="D10" s="1063"/>
      <c r="E10" s="1063"/>
      <c r="F10" s="1062"/>
      <c r="H10" s="293"/>
      <c r="M10" s="296"/>
    </row>
    <row r="11" spans="1:19">
      <c r="A11" s="10"/>
      <c r="B11" s="10"/>
      <c r="C11" s="10"/>
      <c r="D11" s="1063"/>
      <c r="E11" s="1063"/>
      <c r="F11" s="1062"/>
      <c r="H11" s="293"/>
      <c r="K11" s="104"/>
      <c r="L11" s="294"/>
      <c r="M11" s="294"/>
      <c r="N11" s="290"/>
      <c r="P11" s="295"/>
      <c r="R11" s="290"/>
      <c r="S11" s="290"/>
    </row>
    <row r="12" spans="1:19">
      <c r="A12" s="10"/>
      <c r="B12" s="10"/>
      <c r="C12" s="10"/>
      <c r="D12" s="1063"/>
      <c r="E12" s="1063"/>
      <c r="F12" s="1062"/>
      <c r="H12" s="293"/>
      <c r="K12" s="104"/>
      <c r="M12" s="296"/>
      <c r="N12" s="290"/>
    </row>
    <row r="13" spans="1:19">
      <c r="A13" s="10"/>
      <c r="B13" s="10"/>
      <c r="C13" s="10"/>
      <c r="D13" s="1063"/>
      <c r="E13" s="1063"/>
      <c r="F13" s="1062"/>
      <c r="H13" s="293"/>
      <c r="L13" s="104"/>
      <c r="M13" s="296"/>
      <c r="N13" s="290"/>
      <c r="O13" s="104"/>
    </row>
    <row r="14" spans="1:19">
      <c r="A14" s="10"/>
      <c r="B14" s="10"/>
      <c r="C14" s="10"/>
      <c r="D14" s="1063"/>
      <c r="E14" s="1063"/>
      <c r="F14" s="1062"/>
    </row>
    <row r="15" spans="1:19">
      <c r="A15" s="10"/>
      <c r="G15" s="297"/>
      <c r="H15" s="293"/>
    </row>
    <row r="16" spans="1:19">
      <c r="C16" s="104"/>
    </row>
    <row r="17" spans="2:14">
      <c r="C17" s="104"/>
      <c r="N17" s="290"/>
    </row>
    <row r="18" spans="2:14">
      <c r="C18" s="104"/>
      <c r="N18" s="290"/>
    </row>
    <row r="19" spans="2:14">
      <c r="B19" s="298"/>
      <c r="C19" s="1065"/>
      <c r="D19" s="1065"/>
      <c r="E19" s="1066"/>
      <c r="F19" s="1066"/>
      <c r="G19" s="293"/>
    </row>
    <row r="20" spans="2:14">
      <c r="B20" s="298"/>
      <c r="C20" s="1065"/>
      <c r="D20" s="1065"/>
      <c r="E20" s="1066"/>
      <c r="F20" s="1066"/>
      <c r="G20" s="109"/>
      <c r="L20" s="104"/>
      <c r="M20" s="104"/>
    </row>
    <row r="21" spans="2:14" ht="15">
      <c r="B21" s="298"/>
      <c r="C21" s="1065"/>
      <c r="D21" s="1065"/>
      <c r="E21" s="1066"/>
      <c r="F21" s="1066"/>
      <c r="G21" s="109"/>
      <c r="K21" s="299"/>
      <c r="L21" s="104"/>
      <c r="M21" s="104"/>
    </row>
    <row r="22" spans="2:14">
      <c r="E22" s="284"/>
      <c r="G22" s="109"/>
      <c r="K22" s="300"/>
      <c r="L22" s="294"/>
    </row>
    <row r="23" spans="2:14">
      <c r="E23" s="284"/>
      <c r="G23" s="109"/>
      <c r="J23" s="104"/>
      <c r="K23" s="300"/>
      <c r="L23" s="104"/>
    </row>
    <row r="24" spans="2:14">
      <c r="E24" s="284"/>
      <c r="G24" s="109"/>
      <c r="K24" s="300"/>
    </row>
    <row r="25" spans="2:14">
      <c r="B25" s="104"/>
      <c r="E25" s="284"/>
      <c r="G25" s="109"/>
      <c r="K25" s="301"/>
      <c r="M25" s="293"/>
    </row>
    <row r="26" spans="2:14">
      <c r="B26" s="104"/>
      <c r="E26" s="284"/>
      <c r="G26" s="109"/>
    </row>
    <row r="27" spans="2:14">
      <c r="B27" s="104"/>
      <c r="E27" s="284"/>
      <c r="K27" s="290"/>
      <c r="L27" s="104"/>
    </row>
    <row r="28" spans="2:14">
      <c r="E28" s="284"/>
      <c r="G28" s="1064"/>
      <c r="H28" s="1064"/>
    </row>
    <row r="29" spans="2:14">
      <c r="B29" s="104"/>
      <c r="D29" s="104"/>
      <c r="E29" s="284"/>
      <c r="G29" s="109"/>
    </row>
    <row r="30" spans="2:14" ht="15.75">
      <c r="B30" s="302"/>
      <c r="C30" s="303"/>
      <c r="E30" s="284"/>
      <c r="G30" s="109"/>
      <c r="L30" s="304"/>
    </row>
    <row r="31" spans="2:14" ht="15.75">
      <c r="B31" s="305"/>
      <c r="C31" s="303"/>
      <c r="E31" s="284"/>
      <c r="G31" s="109"/>
    </row>
    <row r="32" spans="2:14" ht="15.75">
      <c r="B32" s="305"/>
      <c r="C32" s="303"/>
      <c r="G32" s="109"/>
    </row>
    <row r="33" spans="2:14" ht="15.75">
      <c r="B33" s="305"/>
      <c r="C33" s="303"/>
      <c r="G33" s="109"/>
    </row>
    <row r="34" spans="2:14" ht="15.75">
      <c r="B34" s="305"/>
      <c r="C34" s="303"/>
      <c r="K34" s="306"/>
      <c r="L34" s="306"/>
      <c r="N34" s="306"/>
    </row>
    <row r="35" spans="2:14" ht="15">
      <c r="I35" s="306"/>
      <c r="K35" s="306"/>
      <c r="L35" s="306"/>
      <c r="N35" s="306"/>
    </row>
    <row r="36" spans="2:14" ht="15">
      <c r="I36" s="306"/>
      <c r="K36" s="306"/>
      <c r="L36" s="306"/>
      <c r="N36" s="306"/>
    </row>
    <row r="37" spans="2:14" ht="15">
      <c r="I37" s="306"/>
      <c r="L37" s="306"/>
      <c r="N37" s="306"/>
    </row>
    <row r="38" spans="2:14" ht="15">
      <c r="I38" s="306"/>
      <c r="L38" s="306"/>
      <c r="N38" s="306"/>
    </row>
    <row r="39" spans="2:14" ht="15">
      <c r="I39" s="306"/>
    </row>
    <row r="40" spans="2:14" ht="15">
      <c r="I40" s="306"/>
    </row>
    <row r="41" spans="2:14" ht="15">
      <c r="I41" s="306"/>
    </row>
    <row r="42" spans="2:14" ht="15">
      <c r="E42" s="104"/>
      <c r="I42" s="306"/>
    </row>
    <row r="43" spans="2:14" ht="15.75">
      <c r="E43" s="104"/>
      <c r="F43" s="292"/>
      <c r="I43" s="306"/>
    </row>
    <row r="44" spans="2:14" ht="15">
      <c r="I44" s="307"/>
    </row>
    <row r="54" spans="4:10" ht="15.75">
      <c r="D54" s="207"/>
      <c r="F54" s="207"/>
    </row>
    <row r="55" spans="4:10" ht="15.75">
      <c r="D55" s="207"/>
      <c r="F55" s="207"/>
    </row>
    <row r="56" spans="4:10" ht="15.75">
      <c r="D56" s="207"/>
      <c r="F56" s="207"/>
      <c r="I56" s="308"/>
      <c r="J56" s="308"/>
    </row>
    <row r="57" spans="4:10" ht="15.75">
      <c r="D57" s="207"/>
      <c r="F57" s="207"/>
      <c r="I57" s="308"/>
      <c r="J57" s="308"/>
    </row>
    <row r="58" spans="4:10" ht="15.75">
      <c r="D58" s="207"/>
      <c r="F58" s="207"/>
      <c r="I58" s="308"/>
      <c r="J58" s="308"/>
    </row>
    <row r="59" spans="4:10" ht="15.75">
      <c r="D59" s="207"/>
      <c r="F59" s="207"/>
      <c r="I59" s="308"/>
      <c r="J59" s="308"/>
    </row>
    <row r="60" spans="4:10" ht="15.75">
      <c r="D60" s="207"/>
      <c r="F60" s="207"/>
    </row>
    <row r="61" spans="4:10" ht="15.75">
      <c r="D61" s="207"/>
      <c r="F61" s="207"/>
    </row>
    <row r="62" spans="4:10" ht="15.75">
      <c r="D62" s="309"/>
      <c r="F62" s="207"/>
    </row>
    <row r="63" spans="4:10" ht="15.75">
      <c r="F63" s="207"/>
    </row>
  </sheetData>
  <mergeCells count="19">
    <mergeCell ref="G28:H28"/>
    <mergeCell ref="C19:D19"/>
    <mergeCell ref="E19:F19"/>
    <mergeCell ref="C20:D20"/>
    <mergeCell ref="E20:F20"/>
    <mergeCell ref="C21:D21"/>
    <mergeCell ref="E21:F21"/>
    <mergeCell ref="D10:E10"/>
    <mergeCell ref="F10:F14"/>
    <mergeCell ref="D11:E11"/>
    <mergeCell ref="D12:E12"/>
    <mergeCell ref="D13:E13"/>
    <mergeCell ref="D14:E14"/>
    <mergeCell ref="F8:F9"/>
    <mergeCell ref="D7:E7"/>
    <mergeCell ref="A8:A9"/>
    <mergeCell ref="B8:B9"/>
    <mergeCell ref="C8:C9"/>
    <mergeCell ref="D8:E9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249977111117893"/>
  </sheetPr>
  <dimension ref="A1:AA133"/>
  <sheetViews>
    <sheetView topLeftCell="A22" zoomScale="85" zoomScaleNormal="85" workbookViewId="0">
      <selection activeCell="E26" sqref="E26:G32"/>
    </sheetView>
  </sheetViews>
  <sheetFormatPr defaultColWidth="9.140625" defaultRowHeight="12.75"/>
  <cols>
    <col min="1" max="1" width="10.28515625" style="79" customWidth="1"/>
    <col min="2" max="2" width="12.140625" style="79" customWidth="1"/>
    <col min="3" max="3" width="9.140625" style="79" customWidth="1"/>
    <col min="4" max="4" width="9.5703125" style="79" customWidth="1"/>
    <col min="5" max="5" width="12.42578125" style="79" bestFit="1" customWidth="1"/>
    <col min="6" max="7" width="9.140625" style="79" customWidth="1"/>
    <col min="8" max="8" width="8.28515625" style="79" customWidth="1"/>
    <col min="9" max="9" width="17.28515625" style="79" bestFit="1" customWidth="1"/>
    <col min="10" max="10" width="14.140625" style="79" bestFit="1" customWidth="1"/>
    <col min="11" max="11" width="10.85546875" style="79" bestFit="1" customWidth="1"/>
    <col min="12" max="12" width="12.7109375" style="79" customWidth="1"/>
    <col min="13" max="13" width="14.140625" style="79" bestFit="1" customWidth="1"/>
    <col min="14" max="14" width="11" style="79" bestFit="1" customWidth="1"/>
    <col min="15" max="15" width="12.42578125" style="79" bestFit="1" customWidth="1"/>
    <col min="16" max="16" width="9.28515625" style="79" bestFit="1" customWidth="1"/>
    <col min="17" max="17" width="8.85546875" style="79" bestFit="1" customWidth="1"/>
    <col min="18" max="18" width="12.42578125" style="79" bestFit="1" customWidth="1"/>
    <col min="19" max="19" width="9.7109375" style="79" bestFit="1" customWidth="1"/>
    <col min="20" max="20" width="9.140625" style="79"/>
    <col min="21" max="21" width="9.5703125" style="79" customWidth="1"/>
    <col min="22" max="22" width="15.140625" style="79" bestFit="1" customWidth="1"/>
    <col min="23" max="23" width="11" style="79" customWidth="1"/>
    <col min="24" max="24" width="16" style="79" customWidth="1"/>
    <col min="25" max="25" width="13.5703125" style="79" bestFit="1" customWidth="1"/>
    <col min="26" max="26" width="14.5703125" style="79" bestFit="1" customWidth="1"/>
    <col min="27" max="27" width="12.42578125" style="79" bestFit="1" customWidth="1"/>
    <col min="28" max="16384" width="9.140625" style="79"/>
  </cols>
  <sheetData>
    <row r="1" spans="1:25">
      <c r="A1" s="181" t="s">
        <v>307</v>
      </c>
      <c r="H1" s="319" t="s">
        <v>301</v>
      </c>
      <c r="I1" s="322" t="s">
        <v>309</v>
      </c>
      <c r="T1" s="479" t="s">
        <v>466</v>
      </c>
      <c r="U1" s="478"/>
      <c r="V1" s="480">
        <v>0.8</v>
      </c>
      <c r="W1" s="482"/>
      <c r="X1" s="487">
        <f>V4-W3</f>
        <v>-87042.957150643982</v>
      </c>
    </row>
    <row r="2" spans="1:25">
      <c r="A2" s="144"/>
      <c r="B2" s="320"/>
      <c r="C2" s="313"/>
      <c r="D2" s="313"/>
      <c r="E2" s="315"/>
      <c r="F2" s="313"/>
      <c r="G2" s="315"/>
      <c r="H2" s="313"/>
      <c r="I2" s="1007">
        <f>288735-I13</f>
        <v>270724</v>
      </c>
      <c r="J2" s="146"/>
      <c r="K2" s="146"/>
      <c r="L2" s="146"/>
      <c r="M2" s="146"/>
      <c r="N2" s="146"/>
      <c r="O2" s="146"/>
      <c r="P2" s="518" t="s">
        <v>315</v>
      </c>
      <c r="Q2" s="518" t="s">
        <v>303</v>
      </c>
      <c r="R2" s="146"/>
      <c r="S2" s="145"/>
      <c r="T2" s="477">
        <v>0.9</v>
      </c>
      <c r="U2" s="485" t="s">
        <v>469</v>
      </c>
      <c r="V2" s="485"/>
      <c r="W2" s="481" t="s">
        <v>498</v>
      </c>
      <c r="X2" s="488"/>
    </row>
    <row r="3" spans="1:25" ht="33" customHeight="1">
      <c r="A3" s="340"/>
      <c r="B3" s="341" t="s">
        <v>304</v>
      </c>
      <c r="C3" s="340" t="s">
        <v>305</v>
      </c>
      <c r="D3" s="341" t="s">
        <v>306</v>
      </c>
      <c r="E3" s="341" t="s">
        <v>418</v>
      </c>
      <c r="F3" s="341" t="s">
        <v>416</v>
      </c>
      <c r="G3" s="436" t="s">
        <v>417</v>
      </c>
      <c r="H3" s="342" t="s">
        <v>308</v>
      </c>
      <c r="I3" s="343" t="s">
        <v>209</v>
      </c>
      <c r="J3" s="344" t="s">
        <v>210</v>
      </c>
      <c r="K3" s="344" t="s">
        <v>211</v>
      </c>
      <c r="L3" s="345" t="s">
        <v>212</v>
      </c>
      <c r="M3" s="346" t="s">
        <v>310</v>
      </c>
      <c r="N3" s="346" t="s">
        <v>311</v>
      </c>
      <c r="O3" s="346" t="s">
        <v>312</v>
      </c>
      <c r="P3" s="1073" t="s">
        <v>314</v>
      </c>
      <c r="Q3" s="1074"/>
      <c r="R3" s="346" t="s">
        <v>313</v>
      </c>
      <c r="S3" s="347" t="s">
        <v>316</v>
      </c>
      <c r="T3" s="348" t="s">
        <v>321</v>
      </c>
      <c r="U3" s="348" t="s">
        <v>323</v>
      </c>
      <c r="V3" s="348" t="s">
        <v>324</v>
      </c>
      <c r="W3" s="493">
        <v>346497</v>
      </c>
      <c r="X3" s="489">
        <f>X1/V4</f>
        <v>-0.33548506777819914</v>
      </c>
    </row>
    <row r="4" spans="1:25">
      <c r="A4" s="321" t="s">
        <v>11</v>
      </c>
      <c r="B4" s="535">
        <f>12.3%+7.9%+10%</f>
        <v>0.30200000000000005</v>
      </c>
      <c r="C4" s="520" t="s">
        <v>302</v>
      </c>
      <c r="D4" s="521">
        <v>300</v>
      </c>
      <c r="E4" s="501">
        <v>0.35</v>
      </c>
      <c r="F4" s="516">
        <f>E4+13%</f>
        <v>0.48</v>
      </c>
      <c r="G4" s="517">
        <f>F4+15%</f>
        <v>0.63</v>
      </c>
      <c r="H4" s="522">
        <f>0.4*D4</f>
        <v>120</v>
      </c>
      <c r="I4" s="438">
        <f t="shared" ref="I4:I7" si="0">B4*$I$2</f>
        <v>81758.648000000016</v>
      </c>
      <c r="J4" s="324">
        <f t="shared" ref="J4:J9" si="1">(1-E4)*I4</f>
        <v>53143.121200000009</v>
      </c>
      <c r="K4" s="325">
        <f t="shared" ref="K4:K9" si="2">E4*I4</f>
        <v>28615.526800000003</v>
      </c>
      <c r="L4" s="332">
        <f>E4*H4+(1-E4)*D4</f>
        <v>237</v>
      </c>
      <c r="M4" s="326">
        <f>J4*D4*0.0036</f>
        <v>57394.570896000012</v>
      </c>
      <c r="N4" s="326">
        <f t="shared" ref="N4:N9" si="3">K4*H4*0.0036</f>
        <v>12361.907577600001</v>
      </c>
      <c r="O4" s="326">
        <f>M4+N4</f>
        <v>69756.478473600015</v>
      </c>
      <c r="P4" s="519">
        <v>0.55000000000000004</v>
      </c>
      <c r="Q4" s="519">
        <v>0.8</v>
      </c>
      <c r="R4" s="326">
        <f>M4/P4+N4/Q4</f>
        <v>119806.14973745456</v>
      </c>
      <c r="S4" s="1077">
        <f>(B4*L4+B5*L5+B6*L6+B7*L7+B8*L8+B9*L9)</f>
        <v>178.20000000000002</v>
      </c>
      <c r="T4" s="1078">
        <f>'CWU i pow.'!L5*BILANS!T2*V1</f>
        <v>7690.32</v>
      </c>
      <c r="U4" s="339" t="s">
        <v>322</v>
      </c>
      <c r="V4" s="1069">
        <f>R10+T4+U6</f>
        <v>259454.04284935602</v>
      </c>
      <c r="W4" s="1079" t="s">
        <v>471</v>
      </c>
      <c r="X4" s="490">
        <f>1-X3</f>
        <v>1.3354850677781991</v>
      </c>
    </row>
    <row r="5" spans="1:25">
      <c r="A5" s="321" t="s">
        <v>12</v>
      </c>
      <c r="B5" s="535">
        <f>3%+14%+11%</f>
        <v>0.28000000000000003</v>
      </c>
      <c r="C5" s="520" t="s">
        <v>39</v>
      </c>
      <c r="D5" s="521">
        <v>250</v>
      </c>
      <c r="E5" s="501">
        <v>0.3</v>
      </c>
      <c r="F5" s="516">
        <f t="shared" ref="F5:F8" si="4">E5+10%</f>
        <v>0.4</v>
      </c>
      <c r="G5" s="517">
        <f t="shared" ref="G5:G9" si="5">F5+15%</f>
        <v>0.55000000000000004</v>
      </c>
      <c r="H5" s="522">
        <v>110</v>
      </c>
      <c r="I5" s="323">
        <f t="shared" si="0"/>
        <v>75802.720000000001</v>
      </c>
      <c r="J5" s="324">
        <f t="shared" si="1"/>
        <v>53061.903999999995</v>
      </c>
      <c r="K5" s="325">
        <f t="shared" si="2"/>
        <v>22740.815999999999</v>
      </c>
      <c r="L5" s="332">
        <f t="shared" ref="L5:L8" si="6">E5*H5+(1-E5)*D5</f>
        <v>208</v>
      </c>
      <c r="M5" s="326">
        <f t="shared" ref="M5:M8" si="7">J5*D5*0.0036</f>
        <v>47755.713599999995</v>
      </c>
      <c r="N5" s="326">
        <f t="shared" si="3"/>
        <v>9005.3631359999981</v>
      </c>
      <c r="O5" s="326">
        <f t="shared" ref="O5:O9" si="8">M5+N5</f>
        <v>56761.076735999995</v>
      </c>
      <c r="P5" s="519">
        <v>0.55000000000000004</v>
      </c>
      <c r="Q5" s="519">
        <v>0.9</v>
      </c>
      <c r="R5" s="326">
        <f t="shared" ref="R5:R7" si="9">M5/P5+N5/Q5</f>
        <v>96834.529221818171</v>
      </c>
      <c r="S5" s="1077"/>
      <c r="T5" s="1078"/>
      <c r="U5" s="349">
        <v>0.7</v>
      </c>
      <c r="V5" s="1070"/>
      <c r="W5" s="1080"/>
      <c r="X5" s="486">
        <f>V4*X4</f>
        <v>346497</v>
      </c>
    </row>
    <row r="6" spans="1:25">
      <c r="A6" s="321" t="s">
        <v>13</v>
      </c>
      <c r="B6" s="535">
        <f>100%-B4-B5-B7-B8-B9</f>
        <v>0.1349999999999999</v>
      </c>
      <c r="C6" s="520" t="s">
        <v>40</v>
      </c>
      <c r="D6" s="521">
        <v>170</v>
      </c>
      <c r="E6" s="501">
        <v>0.28000000000000003</v>
      </c>
      <c r="F6" s="516">
        <f t="shared" si="4"/>
        <v>0.38</v>
      </c>
      <c r="G6" s="517">
        <f t="shared" si="5"/>
        <v>0.53</v>
      </c>
      <c r="H6" s="522">
        <v>110</v>
      </c>
      <c r="I6" s="323">
        <f t="shared" si="0"/>
        <v>36547.739999999969</v>
      </c>
      <c r="J6" s="324">
        <f t="shared" si="1"/>
        <v>26314.372799999976</v>
      </c>
      <c r="K6" s="325">
        <f t="shared" si="2"/>
        <v>10233.367199999991</v>
      </c>
      <c r="L6" s="332">
        <f t="shared" si="6"/>
        <v>153.19999999999999</v>
      </c>
      <c r="M6" s="326">
        <f t="shared" si="7"/>
        <v>16104.396153599984</v>
      </c>
      <c r="N6" s="326">
        <f t="shared" si="3"/>
        <v>4052.4134111999965</v>
      </c>
      <c r="O6" s="326">
        <f t="shared" si="8"/>
        <v>20156.80956479998</v>
      </c>
      <c r="P6" s="519">
        <v>0.6</v>
      </c>
      <c r="Q6" s="519">
        <v>0.9</v>
      </c>
      <c r="R6" s="326">
        <f t="shared" si="9"/>
        <v>31343.34182399997</v>
      </c>
      <c r="S6" s="1077"/>
      <c r="T6" s="1078"/>
      <c r="U6" s="1072">
        <f>'CWU i pow.'!L15/BILANS!U5*V1</f>
        <v>26462.679507000008</v>
      </c>
      <c r="V6" s="1070"/>
      <c r="W6" s="1080"/>
    </row>
    <row r="7" spans="1:25" ht="13.5" customHeight="1">
      <c r="A7" s="321" t="s">
        <v>87</v>
      </c>
      <c r="B7" s="535">
        <v>1.4999999999999999E-2</v>
      </c>
      <c r="C7" s="520" t="s">
        <v>41</v>
      </c>
      <c r="D7" s="521">
        <v>130</v>
      </c>
      <c r="E7" s="501">
        <v>0.2</v>
      </c>
      <c r="F7" s="516">
        <f t="shared" si="4"/>
        <v>0.30000000000000004</v>
      </c>
      <c r="G7" s="517">
        <f t="shared" si="5"/>
        <v>0.45000000000000007</v>
      </c>
      <c r="H7" s="522">
        <v>105</v>
      </c>
      <c r="I7" s="323">
        <f t="shared" si="0"/>
        <v>4060.8599999999997</v>
      </c>
      <c r="J7" s="324">
        <f t="shared" si="1"/>
        <v>3248.6880000000001</v>
      </c>
      <c r="K7" s="325">
        <f t="shared" si="2"/>
        <v>812.17200000000003</v>
      </c>
      <c r="L7" s="332">
        <f t="shared" si="6"/>
        <v>125</v>
      </c>
      <c r="M7" s="326">
        <f t="shared" si="7"/>
        <v>1520.385984</v>
      </c>
      <c r="N7" s="326">
        <f t="shared" si="3"/>
        <v>307.00101599999999</v>
      </c>
      <c r="O7" s="326">
        <f t="shared" si="8"/>
        <v>1827.3869999999999</v>
      </c>
      <c r="P7" s="519">
        <v>0.7</v>
      </c>
      <c r="Q7" s="519">
        <v>0.9</v>
      </c>
      <c r="R7" s="326">
        <f t="shared" si="9"/>
        <v>2513.0922171428574</v>
      </c>
      <c r="S7" s="1077"/>
      <c r="T7" s="1078"/>
      <c r="U7" s="1072"/>
      <c r="V7" s="1070"/>
      <c r="W7" s="1080"/>
    </row>
    <row r="8" spans="1:25">
      <c r="A8" s="321" t="s">
        <v>472</v>
      </c>
      <c r="B8" s="535">
        <v>0.23100000000000001</v>
      </c>
      <c r="C8" s="520" t="s">
        <v>42</v>
      </c>
      <c r="D8" s="521">
        <v>100</v>
      </c>
      <c r="E8" s="501">
        <v>0.05</v>
      </c>
      <c r="F8" s="516">
        <f t="shared" si="4"/>
        <v>0.15000000000000002</v>
      </c>
      <c r="G8" s="517">
        <f t="shared" si="5"/>
        <v>0.30000000000000004</v>
      </c>
      <c r="H8" s="522">
        <v>80</v>
      </c>
      <c r="I8" s="323">
        <f>B8*$I$2</f>
        <v>62537.244000000006</v>
      </c>
      <c r="J8" s="324">
        <f t="shared" si="1"/>
        <v>59410.381800000003</v>
      </c>
      <c r="K8" s="325">
        <f t="shared" si="2"/>
        <v>3126.8622000000005</v>
      </c>
      <c r="L8" s="332">
        <f t="shared" si="6"/>
        <v>99</v>
      </c>
      <c r="M8" s="326">
        <f t="shared" si="7"/>
        <v>21387.737448000003</v>
      </c>
      <c r="N8" s="326">
        <f t="shared" si="3"/>
        <v>900.53631360000008</v>
      </c>
      <c r="O8" s="326">
        <f t="shared" si="8"/>
        <v>22288.273761600005</v>
      </c>
      <c r="P8" s="519">
        <v>0.8</v>
      </c>
      <c r="Q8" s="519">
        <v>0.9</v>
      </c>
      <c r="R8" s="326">
        <f>M8/P8+N8/Q8</f>
        <v>27735.267714000005</v>
      </c>
      <c r="S8" s="1077"/>
      <c r="T8" s="1078"/>
      <c r="U8" s="1072"/>
      <c r="V8" s="1070"/>
      <c r="W8" s="1080"/>
      <c r="X8" s="142">
        <f>255000</f>
        <v>255000</v>
      </c>
    </row>
    <row r="9" spans="1:25" ht="15">
      <c r="A9" s="321" t="s">
        <v>490</v>
      </c>
      <c r="B9" s="534">
        <v>3.6999999999999998E-2</v>
      </c>
      <c r="C9" s="522" t="s">
        <v>474</v>
      </c>
      <c r="D9" s="522">
        <v>80</v>
      </c>
      <c r="E9" s="501">
        <v>0</v>
      </c>
      <c r="F9" s="516">
        <f t="shared" ref="F9" si="10">E9+5%</f>
        <v>0.05</v>
      </c>
      <c r="G9" s="517">
        <f t="shared" si="5"/>
        <v>0.2</v>
      </c>
      <c r="H9" s="522">
        <v>0</v>
      </c>
      <c r="I9" s="323">
        <f>B9*$I$2</f>
        <v>10016.787999999999</v>
      </c>
      <c r="J9" s="324">
        <f t="shared" si="1"/>
        <v>10016.787999999999</v>
      </c>
      <c r="K9" s="325">
        <f t="shared" si="2"/>
        <v>0</v>
      </c>
      <c r="L9" s="332">
        <f>E9*H9+(1-E9)*D9</f>
        <v>80</v>
      </c>
      <c r="M9" s="326">
        <f>J9*D9*0.0036</f>
        <v>2884.8349439999997</v>
      </c>
      <c r="N9" s="326">
        <f t="shared" si="3"/>
        <v>0</v>
      </c>
      <c r="O9" s="327">
        <f t="shared" si="8"/>
        <v>2884.8349439999997</v>
      </c>
      <c r="P9" s="519">
        <v>0.85</v>
      </c>
      <c r="Q9" s="519">
        <v>0.9</v>
      </c>
      <c r="R9" s="326">
        <f>M9/P9+N9/Q9</f>
        <v>3393.9234635294115</v>
      </c>
      <c r="S9" s="1077"/>
      <c r="T9" s="1078"/>
      <c r="U9" s="1072"/>
      <c r="V9" s="1071"/>
      <c r="W9" s="1080"/>
      <c r="Y9" s="181"/>
    </row>
    <row r="10" spans="1:25">
      <c r="A10" s="320"/>
      <c r="B10" s="503">
        <f>SUM(B4:B9)</f>
        <v>1</v>
      </c>
      <c r="C10" s="320"/>
      <c r="D10" s="320"/>
      <c r="E10" s="709">
        <f>(E4*$I$4+E5*$I$5+E6*$I$6+E7*$I$7+E8*I8)/$I$2</f>
        <v>0.24204999999999999</v>
      </c>
      <c r="F10" s="710">
        <f>(F4*$I$4+F5*$I$5+F6*$I$6+F7*$I$7+F8*H8)/$I$2</f>
        <v>0.31280432558620586</v>
      </c>
      <c r="G10" s="710">
        <f>(G4*$I$4+G5*$I$5+G6*$I$6+G7*$I$7+G8*I8)/$I$2</f>
        <v>0.49185999999999996</v>
      </c>
      <c r="H10" s="320"/>
      <c r="I10" s="320"/>
      <c r="J10" s="162"/>
      <c r="K10" s="162"/>
      <c r="L10" s="333" t="s">
        <v>220</v>
      </c>
      <c r="M10" s="326">
        <f>SUM(M4:M9)</f>
        <v>147047.63902559999</v>
      </c>
      <c r="N10" s="326">
        <f>SUM(N4:N9)</f>
        <v>26627.221454399994</v>
      </c>
      <c r="O10" s="326">
        <f>SUM(O4:O9)*V1</f>
        <v>138939.88838399999</v>
      </c>
      <c r="P10" s="519"/>
      <c r="Q10" s="519"/>
      <c r="R10" s="326">
        <f>SUM(R4:R9)*V1</f>
        <v>225301.04334235599</v>
      </c>
      <c r="S10" s="320"/>
      <c r="T10" s="320"/>
      <c r="U10" s="320"/>
      <c r="V10" s="320"/>
      <c r="Y10" s="181"/>
    </row>
    <row r="11" spans="1:25">
      <c r="A11" s="181" t="s">
        <v>325</v>
      </c>
      <c r="H11" s="84"/>
      <c r="J11" s="446"/>
      <c r="L11" s="338"/>
      <c r="M11" s="178"/>
      <c r="N11" s="304"/>
      <c r="O11" s="483">
        <f>O10/R11</f>
        <v>0.61668550807762579</v>
      </c>
      <c r="P11" s="178"/>
      <c r="Q11" s="178"/>
      <c r="R11" s="435">
        <f>R10</f>
        <v>225301.04334235599</v>
      </c>
      <c r="S11" s="178"/>
      <c r="V11" s="287">
        <f>V4-T4</f>
        <v>251763.72284935601</v>
      </c>
    </row>
    <row r="12" spans="1:25">
      <c r="A12" s="181"/>
      <c r="H12" s="84"/>
      <c r="J12" s="504">
        <f>I2+I13</f>
        <v>288735</v>
      </c>
      <c r="K12" s="979">
        <f>I13/J12</f>
        <v>6.2378998043188388E-2</v>
      </c>
      <c r="L12" s="511"/>
      <c r="M12" s="178"/>
      <c r="N12" s="304"/>
      <c r="O12" s="505"/>
      <c r="P12" s="178"/>
      <c r="Q12" s="178"/>
      <c r="R12" s="435"/>
      <c r="S12" s="178"/>
      <c r="V12" s="287"/>
      <c r="X12" s="487">
        <f>V15-W14</f>
        <v>-3.2006815221393481E-2</v>
      </c>
    </row>
    <row r="13" spans="1:25">
      <c r="A13" s="144"/>
      <c r="B13" s="320"/>
      <c r="C13" s="313"/>
      <c r="D13" s="313"/>
      <c r="E13" s="315"/>
      <c r="F13" s="313"/>
      <c r="G13" s="315"/>
      <c r="H13" s="313"/>
      <c r="I13" s="934">
        <v>18011</v>
      </c>
      <c r="J13" s="146"/>
      <c r="K13" s="146"/>
      <c r="L13" s="146"/>
      <c r="M13" s="146"/>
      <c r="N13" s="146"/>
      <c r="O13" s="146"/>
      <c r="P13" s="518" t="s">
        <v>315</v>
      </c>
      <c r="Q13" s="518" t="s">
        <v>303</v>
      </c>
      <c r="R13" s="146"/>
      <c r="S13" s="313"/>
      <c r="T13" s="350">
        <v>0.8</v>
      </c>
      <c r="U13" s="320"/>
      <c r="V13" s="437">
        <v>0.74580000000000002</v>
      </c>
      <c r="X13" s="488"/>
    </row>
    <row r="14" spans="1:25" ht="33.75">
      <c r="A14" s="340"/>
      <c r="B14" s="341" t="s">
        <v>304</v>
      </c>
      <c r="C14" s="340" t="s">
        <v>305</v>
      </c>
      <c r="D14" s="341" t="s">
        <v>306</v>
      </c>
      <c r="E14" s="341" t="s">
        <v>418</v>
      </c>
      <c r="F14" s="341" t="s">
        <v>416</v>
      </c>
      <c r="G14" s="436" t="s">
        <v>417</v>
      </c>
      <c r="H14" s="342" t="s">
        <v>308</v>
      </c>
      <c r="I14" s="343" t="s">
        <v>209</v>
      </c>
      <c r="J14" s="344" t="s">
        <v>210</v>
      </c>
      <c r="K14" s="344" t="s">
        <v>211</v>
      </c>
      <c r="L14" s="345" t="s">
        <v>212</v>
      </c>
      <c r="M14" s="346" t="s">
        <v>310</v>
      </c>
      <c r="N14" s="346" t="s">
        <v>311</v>
      </c>
      <c r="O14" s="346" t="s">
        <v>312</v>
      </c>
      <c r="P14" s="1073" t="s">
        <v>314</v>
      </c>
      <c r="Q14" s="1074"/>
      <c r="R14" s="346" t="s">
        <v>313</v>
      </c>
      <c r="S14" s="347" t="s">
        <v>316</v>
      </c>
      <c r="T14" s="348" t="s">
        <v>321</v>
      </c>
      <c r="U14" s="348" t="s">
        <v>323</v>
      </c>
      <c r="V14" s="348" t="s">
        <v>324</v>
      </c>
      <c r="W14" s="493">
        <f>'[1]Mieszk. wielorodz. - emisja'!$AD$14</f>
        <v>9286.4</v>
      </c>
      <c r="X14" s="489">
        <f>X12/V15</f>
        <v>-3.4466451517841134E-6</v>
      </c>
    </row>
    <row r="15" spans="1:25" ht="15">
      <c r="A15" s="321" t="s">
        <v>11</v>
      </c>
      <c r="B15" s="536">
        <v>0</v>
      </c>
      <c r="C15" s="520" t="s">
        <v>302</v>
      </c>
      <c r="D15" s="523">
        <v>260</v>
      </c>
      <c r="E15" s="524">
        <v>0</v>
      </c>
      <c r="F15" s="516">
        <v>0</v>
      </c>
      <c r="G15" s="516">
        <v>1</v>
      </c>
      <c r="H15" s="525">
        <v>100</v>
      </c>
      <c r="I15" s="323">
        <f t="shared" ref="I15:I20" si="11">B15*$I$13</f>
        <v>0</v>
      </c>
      <c r="J15" s="324">
        <f t="shared" ref="J15:J20" si="12">(1-E15)*I15</f>
        <v>0</v>
      </c>
      <c r="K15" s="325">
        <f t="shared" ref="K15:K20" si="13">E15*I15</f>
        <v>0</v>
      </c>
      <c r="L15" s="332">
        <f t="shared" ref="L15:L20" si="14">E15*H15+(1-E15)*D15</f>
        <v>260</v>
      </c>
      <c r="M15" s="326">
        <f t="shared" ref="M15:M20" si="15">J15*D15*0.0036</f>
        <v>0</v>
      </c>
      <c r="N15" s="326">
        <f t="shared" ref="N15:N20" si="16">K15*H15*0.0036</f>
        <v>0</v>
      </c>
      <c r="O15" s="326">
        <f>M15+N15</f>
        <v>0</v>
      </c>
      <c r="P15" s="519">
        <v>0.8</v>
      </c>
      <c r="Q15" s="519">
        <v>0.9</v>
      </c>
      <c r="R15" s="326">
        <f>M15/P15+N15/Q15</f>
        <v>0</v>
      </c>
      <c r="S15" s="1075">
        <f>B15*L15+B16*L16+B17*L17+B18*L18+B19*L19+B20*L20</f>
        <v>121.34823163622232</v>
      </c>
      <c r="T15" s="1072">
        <f>T13*'CWU i pow.'!M5*V13</f>
        <v>507.14400000000001</v>
      </c>
      <c r="U15" s="339" t="s">
        <v>322</v>
      </c>
      <c r="V15" s="1076">
        <f>R21+T15+U17</f>
        <v>9286.3679931847782</v>
      </c>
      <c r="X15" s="490">
        <f>1-X14</f>
        <v>1.0000034466451517</v>
      </c>
    </row>
    <row r="16" spans="1:25" ht="15">
      <c r="A16" s="321" t="s">
        <v>12</v>
      </c>
      <c r="B16" s="536">
        <v>0.25734273499528065</v>
      </c>
      <c r="C16" s="520" t="s">
        <v>39</v>
      </c>
      <c r="D16" s="523">
        <v>230</v>
      </c>
      <c r="E16" s="524">
        <v>1</v>
      </c>
      <c r="F16" s="516">
        <v>1</v>
      </c>
      <c r="G16" s="516">
        <v>1</v>
      </c>
      <c r="H16" s="525">
        <v>90</v>
      </c>
      <c r="I16" s="323">
        <f t="shared" si="11"/>
        <v>4635</v>
      </c>
      <c r="J16" s="324">
        <f t="shared" si="12"/>
        <v>0</v>
      </c>
      <c r="K16" s="325">
        <f t="shared" si="13"/>
        <v>4635</v>
      </c>
      <c r="L16" s="332">
        <f t="shared" si="14"/>
        <v>90</v>
      </c>
      <c r="M16" s="326">
        <f t="shared" si="15"/>
        <v>0</v>
      </c>
      <c r="N16" s="326">
        <f t="shared" si="16"/>
        <v>1501.74</v>
      </c>
      <c r="O16" s="326">
        <f t="shared" ref="O16:O20" si="17">M16+N16</f>
        <v>1501.74</v>
      </c>
      <c r="P16" s="519">
        <v>0.8</v>
      </c>
      <c r="Q16" s="519">
        <v>0.9</v>
      </c>
      <c r="R16" s="326">
        <f t="shared" ref="R16" si="18">M16/P16+N16/Q16</f>
        <v>1668.6</v>
      </c>
      <c r="S16" s="1075"/>
      <c r="T16" s="1072"/>
      <c r="U16" s="349">
        <v>0.9</v>
      </c>
      <c r="V16" s="1076"/>
      <c r="X16" s="486">
        <f>V15*X15</f>
        <v>9286.4</v>
      </c>
    </row>
    <row r="17" spans="1:26" ht="15">
      <c r="A17" s="321" t="s">
        <v>13</v>
      </c>
      <c r="B17" s="536">
        <v>0.40608517017378271</v>
      </c>
      <c r="C17" s="520" t="s">
        <v>40</v>
      </c>
      <c r="D17" s="523">
        <f t="shared" ref="D17:D18" si="19">D6</f>
        <v>170</v>
      </c>
      <c r="E17" s="524">
        <v>0</v>
      </c>
      <c r="F17" s="516">
        <f>E17+20%</f>
        <v>0.2</v>
      </c>
      <c r="G17" s="516">
        <v>1</v>
      </c>
      <c r="H17" s="525">
        <v>80</v>
      </c>
      <c r="I17" s="323">
        <f t="shared" si="11"/>
        <v>7314</v>
      </c>
      <c r="J17" s="324">
        <f t="shared" si="12"/>
        <v>7314</v>
      </c>
      <c r="K17" s="325">
        <f t="shared" si="13"/>
        <v>0</v>
      </c>
      <c r="L17" s="332">
        <f t="shared" si="14"/>
        <v>170</v>
      </c>
      <c r="M17" s="326">
        <f t="shared" si="15"/>
        <v>4476.1679999999997</v>
      </c>
      <c r="N17" s="326">
        <f t="shared" si="16"/>
        <v>0</v>
      </c>
      <c r="O17" s="326">
        <f t="shared" si="17"/>
        <v>4476.1679999999997</v>
      </c>
      <c r="P17" s="519">
        <v>0.85</v>
      </c>
      <c r="Q17" s="519">
        <v>0.95</v>
      </c>
      <c r="R17" s="326">
        <f>M17/P17+N17/Q17</f>
        <v>5266.08</v>
      </c>
      <c r="S17" s="1075"/>
      <c r="T17" s="1072"/>
      <c r="U17" s="1072">
        <f>'CWU i pow.'!M15/BILANS!U16*V13</f>
        <v>2094.1218262800003</v>
      </c>
      <c r="V17" s="1076"/>
    </row>
    <row r="18" spans="1:26" ht="15">
      <c r="A18" s="321" t="s">
        <v>87</v>
      </c>
      <c r="B18" s="536">
        <v>0.17617011826106269</v>
      </c>
      <c r="C18" s="520" t="s">
        <v>41</v>
      </c>
      <c r="D18" s="523">
        <f t="shared" si="19"/>
        <v>130</v>
      </c>
      <c r="E18" s="524">
        <v>0.82</v>
      </c>
      <c r="F18" s="516">
        <v>1</v>
      </c>
      <c r="G18" s="516">
        <v>1</v>
      </c>
      <c r="H18" s="522">
        <v>80</v>
      </c>
      <c r="I18" s="323">
        <f t="shared" si="11"/>
        <v>3173</v>
      </c>
      <c r="J18" s="324">
        <f t="shared" si="12"/>
        <v>571.1400000000001</v>
      </c>
      <c r="K18" s="325">
        <f t="shared" si="13"/>
        <v>2601.8599999999997</v>
      </c>
      <c r="L18" s="332">
        <f t="shared" si="14"/>
        <v>89</v>
      </c>
      <c r="M18" s="326">
        <f t="shared" si="15"/>
        <v>267.29352000000006</v>
      </c>
      <c r="N18" s="326">
        <f t="shared" si="16"/>
        <v>749.33567999999991</v>
      </c>
      <c r="O18" s="326">
        <f t="shared" si="17"/>
        <v>1016.6292</v>
      </c>
      <c r="P18" s="519">
        <v>0.85</v>
      </c>
      <c r="Q18" s="519">
        <v>0.98</v>
      </c>
      <c r="R18" s="326">
        <f t="shared" ref="R18:R19" si="20">M18/P18+N18/Q18</f>
        <v>1079.0912096038414</v>
      </c>
      <c r="S18" s="1075"/>
      <c r="T18" s="1072"/>
      <c r="U18" s="1072"/>
      <c r="V18" s="1076"/>
      <c r="W18" s="287">
        <f>W14+V4</f>
        <v>268740.44284935604</v>
      </c>
      <c r="X18" s="79" t="s">
        <v>666</v>
      </c>
      <c r="Y18" s="142">
        <f>255000</f>
        <v>255000</v>
      </c>
    </row>
    <row r="19" spans="1:26">
      <c r="A19" s="321" t="s">
        <v>472</v>
      </c>
      <c r="B19" s="530">
        <v>0.16040197656987396</v>
      </c>
      <c r="C19" s="520" t="s">
        <v>42</v>
      </c>
      <c r="D19" s="523">
        <v>90</v>
      </c>
      <c r="E19" s="524">
        <v>0.6</v>
      </c>
      <c r="F19" s="517">
        <v>0.8</v>
      </c>
      <c r="G19" s="501">
        <v>1</v>
      </c>
      <c r="H19" s="522">
        <v>80</v>
      </c>
      <c r="I19" s="323">
        <f t="shared" si="11"/>
        <v>2889</v>
      </c>
      <c r="J19" s="324">
        <f t="shared" si="12"/>
        <v>1155.6000000000001</v>
      </c>
      <c r="K19" s="325">
        <f t="shared" si="13"/>
        <v>1733.3999999999999</v>
      </c>
      <c r="L19" s="332">
        <f t="shared" si="14"/>
        <v>84</v>
      </c>
      <c r="M19" s="326">
        <f t="shared" si="15"/>
        <v>374.41440000000006</v>
      </c>
      <c r="N19" s="326">
        <f t="shared" si="16"/>
        <v>499.2192</v>
      </c>
      <c r="O19" s="326">
        <f t="shared" si="17"/>
        <v>873.63360000000011</v>
      </c>
      <c r="P19" s="519">
        <v>0.85</v>
      </c>
      <c r="Q19" s="519">
        <v>0.98</v>
      </c>
      <c r="R19" s="326">
        <f t="shared" si="20"/>
        <v>949.89487635054024</v>
      </c>
      <c r="S19" s="1075"/>
      <c r="T19" s="1072"/>
      <c r="U19" s="1072"/>
      <c r="V19" s="1076"/>
      <c r="W19" s="287"/>
      <c r="X19" s="143" t="s">
        <v>665</v>
      </c>
      <c r="Y19" s="79">
        <f>I24/Y20</f>
        <v>0.12477000000000001</v>
      </c>
    </row>
    <row r="20" spans="1:26">
      <c r="A20" s="321" t="s">
        <v>473</v>
      </c>
      <c r="B20" s="530">
        <v>0</v>
      </c>
      <c r="C20" s="522" t="s">
        <v>474</v>
      </c>
      <c r="D20" s="522">
        <v>80</v>
      </c>
      <c r="E20" s="501">
        <v>0</v>
      </c>
      <c r="F20" s="501">
        <v>0</v>
      </c>
      <c r="G20" s="501"/>
      <c r="H20" s="522">
        <v>0</v>
      </c>
      <c r="I20" s="323">
        <f t="shared" si="11"/>
        <v>0</v>
      </c>
      <c r="J20" s="324">
        <f t="shared" si="12"/>
        <v>0</v>
      </c>
      <c r="K20" s="325">
        <f t="shared" si="13"/>
        <v>0</v>
      </c>
      <c r="L20" s="332">
        <f t="shared" si="14"/>
        <v>80</v>
      </c>
      <c r="M20" s="326">
        <f t="shared" si="15"/>
        <v>0</v>
      </c>
      <c r="N20" s="326">
        <f t="shared" si="16"/>
        <v>0</v>
      </c>
      <c r="O20" s="327">
        <f t="shared" si="17"/>
        <v>0</v>
      </c>
      <c r="P20" s="519">
        <v>0.85</v>
      </c>
      <c r="Q20" s="519">
        <v>0.98</v>
      </c>
      <c r="R20" s="326">
        <f>M20/0.8+N20/0.8</f>
        <v>0</v>
      </c>
      <c r="S20" s="1075"/>
      <c r="T20" s="1072"/>
      <c r="U20" s="1072"/>
      <c r="V20" s="1076"/>
      <c r="X20" s="142">
        <f>110398*3.6</f>
        <v>397432.8</v>
      </c>
      <c r="Y20" s="79">
        <f>1000*1000</f>
        <v>1000000</v>
      </c>
    </row>
    <row r="21" spans="1:26">
      <c r="A21" s="320"/>
      <c r="B21" s="437">
        <f>SUM(B15:B20)</f>
        <v>1</v>
      </c>
      <c r="C21" s="320"/>
      <c r="D21" s="320"/>
      <c r="E21" s="710">
        <f>(E15*$I$15+E16*$I$16+E17*$I$17+E18*$I$18)/$I$13</f>
        <v>0.40180223196935205</v>
      </c>
      <c r="F21" s="710">
        <f>(F15*$I$15+F16*$I$16+F17*$I$17+F18*$I$18+F19*I19)/$I$13</f>
        <v>0.64305146854699902</v>
      </c>
      <c r="G21" s="710">
        <f>(G15*$I$15+G16*$I$16+G17*$I$17+G18*$I$18+G19*I19)/$I$13</f>
        <v>1</v>
      </c>
      <c r="H21" s="320"/>
      <c r="I21" s="320"/>
      <c r="J21" s="162"/>
      <c r="K21" s="162"/>
      <c r="L21" s="333" t="s">
        <v>220</v>
      </c>
      <c r="M21" s="326">
        <f>SUM(M15:M20)</f>
        <v>5117.8759199999995</v>
      </c>
      <c r="N21" s="326">
        <f>SUM(N15:N20)</f>
        <v>2750.2948799999999</v>
      </c>
      <c r="O21" s="326">
        <f>SUM(O15:O20)*V13</f>
        <v>5868.0817826399998</v>
      </c>
      <c r="P21" s="519"/>
      <c r="Q21" s="519"/>
      <c r="R21" s="326">
        <f>SUM(R15:R20)*V13</f>
        <v>6685.1021669047777</v>
      </c>
      <c r="S21" s="320"/>
      <c r="T21" s="320"/>
      <c r="U21" s="320"/>
      <c r="V21" s="326">
        <f>V15-T15</f>
        <v>8779.223993184778</v>
      </c>
    </row>
    <row r="22" spans="1:26">
      <c r="H22" s="84"/>
      <c r="L22" s="338"/>
      <c r="M22" s="178"/>
      <c r="N22" s="304"/>
      <c r="O22" s="483">
        <f>O21/R22</f>
        <v>0.87778490681720411</v>
      </c>
      <c r="P22" s="178"/>
      <c r="Q22" s="178"/>
      <c r="R22" s="435">
        <f>SUM(R15:R20)*V13</f>
        <v>6685.1021669047777</v>
      </c>
      <c r="S22" s="178"/>
      <c r="X22" s="487">
        <f>V26-W25</f>
        <v>60210.880460539745</v>
      </c>
    </row>
    <row r="23" spans="1:26" ht="13.5" thickBot="1">
      <c r="A23" s="181" t="s">
        <v>326</v>
      </c>
      <c r="H23" s="84"/>
      <c r="L23" s="338"/>
      <c r="M23" s="178"/>
      <c r="N23" s="304"/>
      <c r="O23" s="505"/>
      <c r="P23" s="518" t="s">
        <v>315</v>
      </c>
      <c r="Q23" s="518" t="s">
        <v>303</v>
      </c>
      <c r="R23" s="435"/>
      <c r="S23" s="178"/>
      <c r="T23" s="479" t="s">
        <v>466</v>
      </c>
      <c r="U23" s="478"/>
      <c r="V23" s="480">
        <v>0.8</v>
      </c>
      <c r="W23" s="482"/>
    </row>
    <row r="24" spans="1:26" ht="15.75" thickBot="1">
      <c r="A24" s="144"/>
      <c r="B24" s="320"/>
      <c r="C24" s="313"/>
      <c r="D24" s="313"/>
      <c r="E24" s="315"/>
      <c r="F24" s="313"/>
      <c r="G24" s="315"/>
      <c r="H24" s="146"/>
      <c r="I24" s="509">
        <v>124770</v>
      </c>
      <c r="J24" s="146"/>
      <c r="K24" s="146"/>
      <c r="L24" s="146"/>
      <c r="M24" s="146"/>
      <c r="N24" s="146"/>
      <c r="O24" s="146"/>
      <c r="P24" s="1073"/>
      <c r="Q24" s="1074"/>
      <c r="R24" s="146"/>
      <c r="S24" s="313"/>
      <c r="T24" s="350"/>
      <c r="U24" s="320"/>
      <c r="V24" s="320"/>
      <c r="W24" s="481" t="s">
        <v>495</v>
      </c>
      <c r="X24" s="488"/>
    </row>
    <row r="25" spans="1:26" ht="33.75">
      <c r="A25" s="340"/>
      <c r="B25" s="341" t="s">
        <v>304</v>
      </c>
      <c r="C25" s="340" t="s">
        <v>305</v>
      </c>
      <c r="D25" s="341" t="s">
        <v>306</v>
      </c>
      <c r="E25" s="341" t="s">
        <v>418</v>
      </c>
      <c r="F25" s="341" t="s">
        <v>416</v>
      </c>
      <c r="G25" s="436" t="s">
        <v>417</v>
      </c>
      <c r="H25" s="342" t="s">
        <v>308</v>
      </c>
      <c r="I25" s="507" t="s">
        <v>209</v>
      </c>
      <c r="J25" s="344" t="s">
        <v>210</v>
      </c>
      <c r="K25" s="344" t="s">
        <v>211</v>
      </c>
      <c r="L25" s="345" t="s">
        <v>212</v>
      </c>
      <c r="M25" s="346" t="s">
        <v>310</v>
      </c>
      <c r="N25" s="346" t="s">
        <v>311</v>
      </c>
      <c r="O25" s="346" t="s">
        <v>312</v>
      </c>
      <c r="P25" s="1073" t="s">
        <v>314</v>
      </c>
      <c r="Q25" s="1074"/>
      <c r="R25" s="346" t="s">
        <v>313</v>
      </c>
      <c r="S25" s="347" t="s">
        <v>316</v>
      </c>
      <c r="T25" s="348" t="s">
        <v>321</v>
      </c>
      <c r="U25" s="348" t="s">
        <v>323</v>
      </c>
      <c r="V25" s="348" t="s">
        <v>324</v>
      </c>
      <c r="W25" s="482">
        <v>10000</v>
      </c>
      <c r="X25" s="489">
        <f>X22/V26</f>
        <v>0.85757193280576727</v>
      </c>
    </row>
    <row r="26" spans="1:26">
      <c r="A26" s="321" t="s">
        <v>11</v>
      </c>
      <c r="B26" s="936">
        <f>100%-B27-B28-B29-B30-B31</f>
        <v>0.16050000000000009</v>
      </c>
      <c r="C26" s="520" t="s">
        <v>302</v>
      </c>
      <c r="D26" s="521">
        <v>270</v>
      </c>
      <c r="E26" s="526">
        <v>0.45</v>
      </c>
      <c r="F26" s="516">
        <f>E26+10%</f>
        <v>0.55000000000000004</v>
      </c>
      <c r="G26" s="517">
        <f>F26+20%</f>
        <v>0.75</v>
      </c>
      <c r="H26" s="522">
        <v>105</v>
      </c>
      <c r="I26" s="323">
        <f>B26*$I$24</f>
        <v>20025.58500000001</v>
      </c>
      <c r="J26" s="324">
        <f t="shared" ref="J26:J30" si="21">(1-E26)*I26</f>
        <v>11014.071750000006</v>
      </c>
      <c r="K26" s="325">
        <f t="shared" ref="K26:K31" si="22">E26*I26</f>
        <v>9011.5132500000054</v>
      </c>
      <c r="L26" s="332">
        <f t="shared" ref="L26:L31" si="23">E26*H26+(1-E26)*D26</f>
        <v>195.75</v>
      </c>
      <c r="M26" s="326">
        <f t="shared" ref="M26:M30" si="24">J26*D26*0.0036</f>
        <v>10705.677741000007</v>
      </c>
      <c r="N26" s="326">
        <f t="shared" ref="N26:N31" si="25">K26*H26*0.0036</f>
        <v>3406.3520085000018</v>
      </c>
      <c r="O26" s="326">
        <f>M26+N26</f>
        <v>14112.029749500009</v>
      </c>
      <c r="P26" s="519">
        <f>P4</f>
        <v>0.55000000000000004</v>
      </c>
      <c r="Q26" s="519">
        <f>Q4</f>
        <v>0.8</v>
      </c>
      <c r="R26" s="326">
        <f>M26/P26+N26/Q26</f>
        <v>23722.808630625015</v>
      </c>
      <c r="S26" s="1077">
        <f>(B26*L26+B27*L27+B28*L28+B29*L29+B30*L30+B31*L31)</f>
        <v>129.36287500000003</v>
      </c>
      <c r="T26" s="1072">
        <f>T24*'CWU i pow.'!M15</f>
        <v>0</v>
      </c>
      <c r="U26" s="339" t="s">
        <v>322</v>
      </c>
      <c r="V26" s="1076">
        <f>R32+T26+U28</f>
        <v>70210.880460539745</v>
      </c>
      <c r="X26" s="490">
        <f>1-X25</f>
        <v>0.14242806719423273</v>
      </c>
    </row>
    <row r="27" spans="1:26">
      <c r="A27" s="321" t="s">
        <v>12</v>
      </c>
      <c r="B27" s="936">
        <v>0.15</v>
      </c>
      <c r="C27" s="520" t="s">
        <v>39</v>
      </c>
      <c r="D27" s="521">
        <v>240</v>
      </c>
      <c r="E27" s="526">
        <v>0.4</v>
      </c>
      <c r="F27" s="516">
        <f t="shared" ref="F27:F31" si="26">E27+10%</f>
        <v>0.5</v>
      </c>
      <c r="G27" s="517">
        <f t="shared" ref="G27:G31" si="27">F27+20%</f>
        <v>0.7</v>
      </c>
      <c r="H27" s="522">
        <v>100</v>
      </c>
      <c r="I27" s="323">
        <f>B27*$I$24</f>
        <v>18715.5</v>
      </c>
      <c r="J27" s="324">
        <f t="shared" si="21"/>
        <v>11229.3</v>
      </c>
      <c r="K27" s="325">
        <f t="shared" si="22"/>
        <v>7486.2000000000007</v>
      </c>
      <c r="L27" s="332">
        <f t="shared" si="23"/>
        <v>184</v>
      </c>
      <c r="M27" s="326">
        <f t="shared" si="24"/>
        <v>9702.1152000000002</v>
      </c>
      <c r="N27" s="326">
        <f t="shared" si="25"/>
        <v>2695.0320000000002</v>
      </c>
      <c r="O27" s="326">
        <f t="shared" ref="O27:O30" si="28">M27+N27</f>
        <v>12397.147199999999</v>
      </c>
      <c r="P27" s="519">
        <f t="shared" ref="P27:Q27" si="29">P5</f>
        <v>0.55000000000000004</v>
      </c>
      <c r="Q27" s="519">
        <f t="shared" si="29"/>
        <v>0.9</v>
      </c>
      <c r="R27" s="326">
        <f t="shared" ref="R27:R29" si="30">M27/P27+N27/Q27</f>
        <v>20634.689454545452</v>
      </c>
      <c r="S27" s="1077"/>
      <c r="T27" s="1072"/>
      <c r="U27" s="349">
        <v>0.7</v>
      </c>
      <c r="V27" s="1076"/>
    </row>
    <row r="28" spans="1:26">
      <c r="A28" s="321" t="s">
        <v>13</v>
      </c>
      <c r="B28" s="936">
        <v>7.0000000000000007E-2</v>
      </c>
      <c r="C28" s="520" t="s">
        <v>40</v>
      </c>
      <c r="D28" s="521">
        <v>160</v>
      </c>
      <c r="E28" s="526">
        <v>0.3</v>
      </c>
      <c r="F28" s="516">
        <f t="shared" si="26"/>
        <v>0.4</v>
      </c>
      <c r="G28" s="517">
        <f t="shared" si="27"/>
        <v>0.60000000000000009</v>
      </c>
      <c r="H28" s="522">
        <v>90</v>
      </c>
      <c r="I28" s="323">
        <f t="shared" ref="I28:I29" si="31">B28*$I$24</f>
        <v>8733.9000000000015</v>
      </c>
      <c r="J28" s="324">
        <f t="shared" si="21"/>
        <v>6113.7300000000005</v>
      </c>
      <c r="K28" s="325">
        <f t="shared" si="22"/>
        <v>2620.1700000000005</v>
      </c>
      <c r="L28" s="332">
        <f t="shared" si="23"/>
        <v>139</v>
      </c>
      <c r="M28" s="326">
        <f t="shared" si="24"/>
        <v>3521.50848</v>
      </c>
      <c r="N28" s="326">
        <f t="shared" si="25"/>
        <v>848.9350800000002</v>
      </c>
      <c r="O28" s="326">
        <f t="shared" si="28"/>
        <v>4370.4435599999997</v>
      </c>
      <c r="P28" s="519">
        <f t="shared" ref="P28:Q28" si="32">P6</f>
        <v>0.6</v>
      </c>
      <c r="Q28" s="519">
        <f t="shared" si="32"/>
        <v>0.9</v>
      </c>
      <c r="R28" s="326">
        <f t="shared" si="30"/>
        <v>6812.442</v>
      </c>
      <c r="S28" s="1077"/>
      <c r="T28" s="1072"/>
      <c r="U28" s="1072">
        <f>'CWU i pow.'!N15/BILANS!U27*V23</f>
        <v>999.51324685714326</v>
      </c>
      <c r="V28" s="1076"/>
      <c r="X28" s="937">
        <f>V26*0.8</f>
        <v>56168.704368431798</v>
      </c>
      <c r="Z28" s="486"/>
    </row>
    <row r="29" spans="1:26">
      <c r="A29" s="321" t="s">
        <v>87</v>
      </c>
      <c r="B29" s="936">
        <v>0.18</v>
      </c>
      <c r="C29" s="520" t="s">
        <v>41</v>
      </c>
      <c r="D29" s="521">
        <v>120</v>
      </c>
      <c r="E29" s="526">
        <v>0.1</v>
      </c>
      <c r="F29" s="516">
        <f t="shared" si="26"/>
        <v>0.2</v>
      </c>
      <c r="G29" s="517">
        <f t="shared" si="27"/>
        <v>0.4</v>
      </c>
      <c r="H29" s="522">
        <v>90</v>
      </c>
      <c r="I29" s="323">
        <f t="shared" si="31"/>
        <v>22458.6</v>
      </c>
      <c r="J29" s="324">
        <f t="shared" si="21"/>
        <v>20212.739999999998</v>
      </c>
      <c r="K29" s="325">
        <f t="shared" si="22"/>
        <v>2245.86</v>
      </c>
      <c r="L29" s="332">
        <f t="shared" si="23"/>
        <v>117</v>
      </c>
      <c r="M29" s="326">
        <f t="shared" si="24"/>
        <v>8731.9036799999994</v>
      </c>
      <c r="N29" s="326">
        <f t="shared" si="25"/>
        <v>727.6586400000001</v>
      </c>
      <c r="O29" s="326">
        <f t="shared" si="28"/>
        <v>9459.5623199999991</v>
      </c>
      <c r="P29" s="519">
        <f t="shared" ref="P29:Q29" si="33">P7</f>
        <v>0.7</v>
      </c>
      <c r="Q29" s="519">
        <f t="shared" si="33"/>
        <v>0.9</v>
      </c>
      <c r="R29" s="326">
        <f t="shared" si="30"/>
        <v>13282.657714285713</v>
      </c>
      <c r="S29" s="1077"/>
      <c r="T29" s="1072"/>
      <c r="U29" s="1072"/>
      <c r="V29" s="1076"/>
      <c r="W29" s="287">
        <f>V26/W30</f>
        <v>0.10264748605342068</v>
      </c>
    </row>
    <row r="30" spans="1:26">
      <c r="A30" s="321" t="s">
        <v>472</v>
      </c>
      <c r="B30" s="936">
        <v>0.39</v>
      </c>
      <c r="C30" s="520" t="s">
        <v>42</v>
      </c>
      <c r="D30" s="521">
        <v>90</v>
      </c>
      <c r="E30" s="527">
        <v>0</v>
      </c>
      <c r="F30" s="516">
        <f t="shared" si="26"/>
        <v>0.1</v>
      </c>
      <c r="G30" s="517">
        <f t="shared" si="27"/>
        <v>0.30000000000000004</v>
      </c>
      <c r="H30" s="522">
        <v>0</v>
      </c>
      <c r="I30" s="323">
        <f>B30*$I$24</f>
        <v>48660.3</v>
      </c>
      <c r="J30" s="324">
        <f t="shared" si="21"/>
        <v>48660.3</v>
      </c>
      <c r="K30" s="325">
        <f t="shared" si="22"/>
        <v>0</v>
      </c>
      <c r="L30" s="332">
        <f t="shared" si="23"/>
        <v>90</v>
      </c>
      <c r="M30" s="326">
        <f t="shared" si="24"/>
        <v>15765.9372</v>
      </c>
      <c r="N30" s="326">
        <f t="shared" si="25"/>
        <v>0</v>
      </c>
      <c r="O30" s="326">
        <f t="shared" si="28"/>
        <v>15765.9372</v>
      </c>
      <c r="P30" s="519">
        <f t="shared" ref="P30:Q30" si="34">P8</f>
        <v>0.8</v>
      </c>
      <c r="Q30" s="519">
        <f t="shared" si="34"/>
        <v>0.9</v>
      </c>
      <c r="R30" s="326">
        <f>M30/P30+N30/Q30</f>
        <v>19707.4215</v>
      </c>
      <c r="S30" s="1077"/>
      <c r="T30" s="1072"/>
      <c r="U30" s="1072"/>
      <c r="V30" s="1076"/>
      <c r="W30" s="79">
        <f>190000*3.6</f>
        <v>684000</v>
      </c>
    </row>
    <row r="31" spans="1:26">
      <c r="A31" s="321" t="s">
        <v>490</v>
      </c>
      <c r="B31" s="936">
        <v>4.9500000000000002E-2</v>
      </c>
      <c r="C31" s="522" t="s">
        <v>474</v>
      </c>
      <c r="D31" s="522">
        <v>90</v>
      </c>
      <c r="E31" s="527">
        <v>0</v>
      </c>
      <c r="F31" s="516">
        <f t="shared" si="26"/>
        <v>0.1</v>
      </c>
      <c r="G31" s="517">
        <f t="shared" si="27"/>
        <v>0.30000000000000004</v>
      </c>
      <c r="H31" s="522">
        <v>0</v>
      </c>
      <c r="I31" s="323">
        <f>B31*$I$24</f>
        <v>6176.1150000000007</v>
      </c>
      <c r="J31" s="324">
        <f>(1-E31)*I31</f>
        <v>6176.1150000000007</v>
      </c>
      <c r="K31" s="325">
        <f t="shared" si="22"/>
        <v>0</v>
      </c>
      <c r="L31" s="332">
        <f t="shared" si="23"/>
        <v>90</v>
      </c>
      <c r="M31" s="326">
        <f>J31*D31*0.0036</f>
        <v>2001.0612600000002</v>
      </c>
      <c r="N31" s="326">
        <f t="shared" si="25"/>
        <v>0</v>
      </c>
      <c r="O31" s="327">
        <f>M31+N31</f>
        <v>2001.0612600000002</v>
      </c>
      <c r="P31" s="519">
        <f t="shared" ref="P31:Q31" si="35">P9</f>
        <v>0.85</v>
      </c>
      <c r="Q31" s="519">
        <f t="shared" si="35"/>
        <v>0.9</v>
      </c>
      <c r="R31" s="326">
        <f>M31/P31+N31/Q31</f>
        <v>2354.1897176470593</v>
      </c>
      <c r="S31" s="1077"/>
      <c r="T31" s="1072"/>
      <c r="U31" s="1072"/>
      <c r="V31" s="1076"/>
    </row>
    <row r="32" spans="1:26" ht="15">
      <c r="A32" s="320"/>
      <c r="B32" s="514">
        <f>SUM(B26:B31)</f>
        <v>1.0000000000000002</v>
      </c>
      <c r="C32" s="320"/>
      <c r="D32" s="320"/>
      <c r="E32" s="343">
        <f>(E26*$I$26+E27*$I$27+E28*$I$28+E29*$I$29+E30*I30)/$I$24</f>
        <v>0.17122500000000007</v>
      </c>
      <c r="F32" s="343">
        <f>(F26*$I$26+F27*$I$27+F28*$I$28+F29*$I$29+F30*I30)/$I$24</f>
        <v>0.26627500000000004</v>
      </c>
      <c r="G32" s="343">
        <f>(G26*$I$26+G27*$I$27+G28*$I$28+G29*$I$29+G30*I30)/$I$24</f>
        <v>0.45637500000000014</v>
      </c>
      <c r="H32" s="320"/>
      <c r="I32" s="320"/>
      <c r="J32" s="162"/>
      <c r="K32" s="162"/>
      <c r="L32" s="333" t="s">
        <v>220</v>
      </c>
      <c r="M32" s="326">
        <f>SUM(M26:M31)</f>
        <v>50428.203561000009</v>
      </c>
      <c r="N32" s="326">
        <f>SUM(N26:N31)</f>
        <v>7677.9777285000018</v>
      </c>
      <c r="O32" s="326">
        <f>SUM(O26:O31)*V23</f>
        <v>46484.945031600015</v>
      </c>
      <c r="P32" s="178"/>
      <c r="Q32" s="178"/>
      <c r="R32" s="326">
        <f>SUM(R26:R31)*V23</f>
        <v>69211.367213682606</v>
      </c>
      <c r="S32" s="320"/>
      <c r="T32" s="320"/>
      <c r="U32" s="320"/>
      <c r="V32" s="333" t="s">
        <v>468</v>
      </c>
    </row>
    <row r="33" spans="1:26">
      <c r="A33" s="181" t="s">
        <v>329</v>
      </c>
      <c r="H33" s="84"/>
      <c r="L33" s="338"/>
      <c r="M33" s="178"/>
      <c r="N33" s="304"/>
      <c r="O33" s="483">
        <f>O32/R33</f>
        <v>0.67163743331471515</v>
      </c>
      <c r="P33" s="518" t="s">
        <v>315</v>
      </c>
      <c r="Q33" s="518" t="s">
        <v>303</v>
      </c>
      <c r="R33" s="435">
        <f>R32</f>
        <v>69211.367213682606</v>
      </c>
      <c r="S33" s="178"/>
      <c r="T33" s="479" t="s">
        <v>466</v>
      </c>
      <c r="U33" s="478"/>
      <c r="V33" s="480">
        <v>0.81893000000000005</v>
      </c>
      <c r="W33" s="482"/>
      <c r="X33" s="487">
        <f>V36-W35</f>
        <v>-9.6201105233212729</v>
      </c>
      <c r="Z33" s="84"/>
    </row>
    <row r="34" spans="1:26">
      <c r="A34" s="144"/>
      <c r="B34" s="320">
        <f>38/4</f>
        <v>9.5</v>
      </c>
      <c r="C34" s="313"/>
      <c r="D34" s="313"/>
      <c r="E34" s="315"/>
      <c r="F34" s="313"/>
      <c r="G34" s="315"/>
      <c r="H34" s="529"/>
      <c r="I34" s="528">
        <v>15339</v>
      </c>
      <c r="J34" s="146"/>
      <c r="K34" s="146"/>
      <c r="L34" s="146"/>
      <c r="M34" s="146"/>
      <c r="N34" s="146"/>
      <c r="O34" s="146"/>
      <c r="P34" s="1073"/>
      <c r="Q34" s="1074"/>
      <c r="R34" s="146"/>
      <c r="S34" s="313"/>
      <c r="T34" s="350">
        <v>0</v>
      </c>
      <c r="U34" s="320"/>
      <c r="V34" s="320"/>
      <c r="W34" s="481" t="s">
        <v>465</v>
      </c>
      <c r="X34" s="488"/>
    </row>
    <row r="35" spans="1:26" ht="33.75">
      <c r="A35" s="340"/>
      <c r="B35" s="341" t="s">
        <v>304</v>
      </c>
      <c r="C35" s="340" t="s">
        <v>305</v>
      </c>
      <c r="D35" s="341" t="s">
        <v>306</v>
      </c>
      <c r="E35" s="341" t="s">
        <v>418</v>
      </c>
      <c r="F35" s="341" t="s">
        <v>416</v>
      </c>
      <c r="G35" s="436" t="s">
        <v>417</v>
      </c>
      <c r="H35" s="342" t="s">
        <v>308</v>
      </c>
      <c r="I35" s="507" t="s">
        <v>209</v>
      </c>
      <c r="J35" s="344" t="s">
        <v>210</v>
      </c>
      <c r="K35" s="344" t="s">
        <v>211</v>
      </c>
      <c r="L35" s="345" t="s">
        <v>212</v>
      </c>
      <c r="M35" s="346" t="s">
        <v>310</v>
      </c>
      <c r="N35" s="346" t="s">
        <v>311</v>
      </c>
      <c r="O35" s="346" t="s">
        <v>312</v>
      </c>
      <c r="P35" s="1073" t="s">
        <v>314</v>
      </c>
      <c r="Q35" s="1074"/>
      <c r="R35" s="346" t="s">
        <v>313</v>
      </c>
      <c r="S35" s="347" t="s">
        <v>316</v>
      </c>
      <c r="T35" s="348" t="s">
        <v>321</v>
      </c>
      <c r="U35" s="348" t="s">
        <v>323</v>
      </c>
      <c r="V35" s="348" t="s">
        <v>324</v>
      </c>
      <c r="W35" s="193">
        <f>'[1]Budynki komunalne - emisja'!$AD$14</f>
        <v>8763.7158999999992</v>
      </c>
      <c r="X35" s="489">
        <f>X33/V36</f>
        <v>-1.0989268057685219E-3</v>
      </c>
      <c r="Y35" s="491"/>
      <c r="Z35" s="84"/>
    </row>
    <row r="36" spans="1:26">
      <c r="A36" s="321" t="s">
        <v>11</v>
      </c>
      <c r="B36" s="530">
        <v>0.27283395266966554</v>
      </c>
      <c r="C36" s="520" t="s">
        <v>302</v>
      </c>
      <c r="D36" s="523">
        <v>270</v>
      </c>
      <c r="E36" s="501">
        <v>0.49056152927120666</v>
      </c>
      <c r="F36" s="517">
        <f>E36+15%</f>
        <v>0.64056152927120669</v>
      </c>
      <c r="G36" s="517">
        <v>1</v>
      </c>
      <c r="H36" s="522">
        <v>130</v>
      </c>
      <c r="I36" s="323">
        <f t="shared" ref="I36:I38" si="36">B36*$I$34</f>
        <v>4185</v>
      </c>
      <c r="J36" s="324">
        <f t="shared" ref="J36:J41" si="37">(1-E36)*I36</f>
        <v>2132</v>
      </c>
      <c r="K36" s="325">
        <f t="shared" ref="K36:K41" si="38">E36*I36</f>
        <v>2053</v>
      </c>
      <c r="L36" s="332">
        <f t="shared" ref="L36:L41" si="39">E36*H36+(1-E36)*D36</f>
        <v>201.32138590203107</v>
      </c>
      <c r="M36" s="326">
        <f t="shared" ref="M36:M41" si="40">J36*D36*0.0036</f>
        <v>2072.3040000000001</v>
      </c>
      <c r="N36" s="326">
        <f t="shared" ref="N36:N41" si="41">K36*H36*0.0036</f>
        <v>960.80399999999997</v>
      </c>
      <c r="O36" s="326">
        <f>M36+N36</f>
        <v>3033.1080000000002</v>
      </c>
      <c r="P36" s="519">
        <v>0.8</v>
      </c>
      <c r="Q36" s="519">
        <v>0.99</v>
      </c>
      <c r="R36" s="326">
        <f>M36/P36+N36/Q36</f>
        <v>3560.889090909091</v>
      </c>
      <c r="S36" s="1075">
        <f>(B36*L36+B37*L37+B38*L38+B39*L39+B40*L40+B41*L41)</f>
        <v>160.29988917139318</v>
      </c>
      <c r="T36" s="1072">
        <v>0</v>
      </c>
      <c r="U36" s="339" t="s">
        <v>322</v>
      </c>
      <c r="V36" s="1081">
        <f>R42+T36+U38</f>
        <v>8754.095789476678</v>
      </c>
      <c r="X36" s="490">
        <f>1-X35</f>
        <v>1.0010989268057686</v>
      </c>
      <c r="Y36" s="490"/>
      <c r="Z36" s="84"/>
    </row>
    <row r="37" spans="1:26" ht="13.5" customHeight="1">
      <c r="A37" s="321" t="s">
        <v>12</v>
      </c>
      <c r="B37" s="530">
        <v>0.26618423626051241</v>
      </c>
      <c r="C37" s="520" t="s">
        <v>39</v>
      </c>
      <c r="D37" s="523">
        <v>240</v>
      </c>
      <c r="E37" s="501">
        <v>0</v>
      </c>
      <c r="F37" s="517">
        <v>1</v>
      </c>
      <c r="G37" s="517">
        <v>1</v>
      </c>
      <c r="H37" s="522">
        <v>100</v>
      </c>
      <c r="I37" s="323">
        <f t="shared" si="36"/>
        <v>4083</v>
      </c>
      <c r="J37" s="324">
        <f t="shared" si="37"/>
        <v>4083</v>
      </c>
      <c r="K37" s="325">
        <f t="shared" si="38"/>
        <v>0</v>
      </c>
      <c r="L37" s="332">
        <f t="shared" si="39"/>
        <v>240</v>
      </c>
      <c r="M37" s="326">
        <f t="shared" si="40"/>
        <v>3527.712</v>
      </c>
      <c r="N37" s="326">
        <f t="shared" si="41"/>
        <v>0</v>
      </c>
      <c r="O37" s="326">
        <f t="shared" ref="O37:O41" si="42">M37+N37</f>
        <v>3527.712</v>
      </c>
      <c r="P37" s="519">
        <v>0.85</v>
      </c>
      <c r="Q37" s="519">
        <v>0.99</v>
      </c>
      <c r="R37" s="326">
        <f t="shared" ref="R37:R41" si="43">M37/P37+N37/Q37</f>
        <v>4150.2494117647057</v>
      </c>
      <c r="S37" s="1075"/>
      <c r="T37" s="1072"/>
      <c r="U37" s="349">
        <v>0.7</v>
      </c>
      <c r="V37" s="1081"/>
      <c r="X37" s="486"/>
    </row>
    <row r="38" spans="1:26" ht="13.5" customHeight="1">
      <c r="A38" s="321" t="s">
        <v>13</v>
      </c>
      <c r="B38" s="530">
        <v>0</v>
      </c>
      <c r="C38" s="520" t="s">
        <v>40</v>
      </c>
      <c r="D38" s="523">
        <v>160</v>
      </c>
      <c r="E38" s="501">
        <v>0.60813127602253247</v>
      </c>
      <c r="F38" s="517">
        <v>1</v>
      </c>
      <c r="G38" s="517">
        <v>1</v>
      </c>
      <c r="H38" s="522">
        <v>90</v>
      </c>
      <c r="I38" s="323">
        <f t="shared" si="36"/>
        <v>0</v>
      </c>
      <c r="J38" s="324">
        <f t="shared" si="37"/>
        <v>0</v>
      </c>
      <c r="K38" s="325">
        <f t="shared" si="38"/>
        <v>0</v>
      </c>
      <c r="L38" s="332">
        <f t="shared" si="39"/>
        <v>117.43081067842272</v>
      </c>
      <c r="M38" s="326">
        <f t="shared" si="40"/>
        <v>0</v>
      </c>
      <c r="N38" s="326">
        <f t="shared" si="41"/>
        <v>0</v>
      </c>
      <c r="O38" s="326">
        <f t="shared" si="42"/>
        <v>0</v>
      </c>
      <c r="P38" s="519">
        <v>0.9</v>
      </c>
      <c r="Q38" s="519">
        <v>0.99</v>
      </c>
      <c r="R38" s="326">
        <f t="shared" si="43"/>
        <v>0</v>
      </c>
      <c r="S38" s="1075"/>
      <c r="T38" s="1072"/>
      <c r="U38" s="1072">
        <f>('CWU i pow.'!O15+'CWU i pow.'!P15)/U37*V33</f>
        <v>354.57768468202516</v>
      </c>
      <c r="V38" s="1081"/>
      <c r="X38" s="486"/>
    </row>
    <row r="39" spans="1:26">
      <c r="A39" s="321" t="s">
        <v>87</v>
      </c>
      <c r="B39" s="530">
        <v>0</v>
      </c>
      <c r="C39" s="520" t="s">
        <v>41</v>
      </c>
      <c r="D39" s="523">
        <v>120</v>
      </c>
      <c r="E39" s="501">
        <v>0</v>
      </c>
      <c r="F39" s="517">
        <v>1</v>
      </c>
      <c r="G39" s="517">
        <v>1</v>
      </c>
      <c r="H39" s="522">
        <v>90</v>
      </c>
      <c r="I39" s="323">
        <f>B39*$I$34</f>
        <v>0</v>
      </c>
      <c r="J39" s="324">
        <f t="shared" si="37"/>
        <v>0</v>
      </c>
      <c r="K39" s="325">
        <f t="shared" si="38"/>
        <v>0</v>
      </c>
      <c r="L39" s="332">
        <f t="shared" si="39"/>
        <v>120</v>
      </c>
      <c r="M39" s="326">
        <f t="shared" si="40"/>
        <v>0</v>
      </c>
      <c r="N39" s="326">
        <f t="shared" si="41"/>
        <v>0</v>
      </c>
      <c r="O39" s="326">
        <f t="shared" si="42"/>
        <v>0</v>
      </c>
      <c r="P39" s="519">
        <v>0.8</v>
      </c>
      <c r="Q39" s="519">
        <v>0.99</v>
      </c>
      <c r="R39" s="326">
        <f t="shared" si="43"/>
        <v>0</v>
      </c>
      <c r="S39" s="1075"/>
      <c r="T39" s="1072"/>
      <c r="U39" s="1072"/>
      <c r="V39" s="1081"/>
      <c r="W39" s="79">
        <f>300+1100+500</f>
        <v>1900</v>
      </c>
      <c r="X39" s="486"/>
    </row>
    <row r="40" spans="1:26">
      <c r="A40" s="321" t="s">
        <v>472</v>
      </c>
      <c r="B40" s="530">
        <v>0.460981811069822</v>
      </c>
      <c r="C40" s="520" t="s">
        <v>42</v>
      </c>
      <c r="D40" s="523">
        <v>90</v>
      </c>
      <c r="E40" s="501">
        <v>0</v>
      </c>
      <c r="F40" s="517">
        <f t="shared" ref="F40:F41" si="44">E40+15%</f>
        <v>0.15</v>
      </c>
      <c r="G40" s="517">
        <v>1</v>
      </c>
      <c r="H40" s="522">
        <v>0</v>
      </c>
      <c r="I40" s="323">
        <f>B40*$I$34</f>
        <v>7071</v>
      </c>
      <c r="J40" s="324">
        <f t="shared" si="37"/>
        <v>7071</v>
      </c>
      <c r="K40" s="325">
        <f t="shared" si="38"/>
        <v>0</v>
      </c>
      <c r="L40" s="332">
        <f t="shared" si="39"/>
        <v>90</v>
      </c>
      <c r="M40" s="326">
        <f t="shared" si="40"/>
        <v>2291.0039999999999</v>
      </c>
      <c r="N40" s="326">
        <f t="shared" si="41"/>
        <v>0</v>
      </c>
      <c r="O40" s="326">
        <f t="shared" si="42"/>
        <v>2291.0039999999999</v>
      </c>
      <c r="P40" s="519">
        <v>0.9</v>
      </c>
      <c r="Q40" s="519">
        <v>0.99</v>
      </c>
      <c r="R40" s="326">
        <f t="shared" si="43"/>
        <v>2545.56</v>
      </c>
      <c r="S40" s="1075"/>
      <c r="T40" s="1072"/>
      <c r="U40" s="1072"/>
      <c r="V40" s="1081"/>
      <c r="W40" s="79">
        <f>W39*3.6</f>
        <v>6840</v>
      </c>
      <c r="X40" s="79">
        <v>15300</v>
      </c>
      <c r="Y40" s="175"/>
    </row>
    <row r="41" spans="1:26">
      <c r="A41" s="321" t="s">
        <v>473</v>
      </c>
      <c r="B41" s="530"/>
      <c r="C41" s="522" t="s">
        <v>478</v>
      </c>
      <c r="D41" s="522">
        <v>70</v>
      </c>
      <c r="E41" s="501">
        <v>0</v>
      </c>
      <c r="F41" s="517">
        <f t="shared" si="44"/>
        <v>0.15</v>
      </c>
      <c r="G41" s="517">
        <v>1</v>
      </c>
      <c r="H41" s="522">
        <v>0</v>
      </c>
      <c r="I41" s="323">
        <f>B41*$I$34</f>
        <v>0</v>
      </c>
      <c r="J41" s="324">
        <f t="shared" si="37"/>
        <v>0</v>
      </c>
      <c r="K41" s="325">
        <f t="shared" si="38"/>
        <v>0</v>
      </c>
      <c r="L41" s="332">
        <f t="shared" si="39"/>
        <v>70</v>
      </c>
      <c r="M41" s="326">
        <f t="shared" si="40"/>
        <v>0</v>
      </c>
      <c r="N41" s="326">
        <f t="shared" si="41"/>
        <v>0</v>
      </c>
      <c r="O41" s="327">
        <f t="shared" si="42"/>
        <v>0</v>
      </c>
      <c r="P41" s="519">
        <v>0.9</v>
      </c>
      <c r="Q41" s="519">
        <v>0.98</v>
      </c>
      <c r="R41" s="326">
        <f t="shared" si="43"/>
        <v>0</v>
      </c>
      <c r="S41" s="1075"/>
      <c r="T41" s="1072"/>
      <c r="U41" s="1072"/>
      <c r="V41" s="1081"/>
    </row>
    <row r="42" spans="1:26">
      <c r="A42" s="320"/>
      <c r="B42" s="437">
        <f>SUM(B36:B41)</f>
        <v>1</v>
      </c>
      <c r="C42" s="320"/>
      <c r="D42" s="320"/>
      <c r="E42" s="710">
        <f>(E36*$I$36+E37*$I$37+E38*$I$38+E39*$I$39+E40*I40)/$I$34</f>
        <v>0.13384184105873917</v>
      </c>
      <c r="F42" s="343">
        <f>(F36*$I$36+F37*$I$37+F38*$I$38+F39*$I$39+F40*I40)/$I$34</f>
        <v>0.51009844188017472</v>
      </c>
      <c r="G42" s="343">
        <f>(G36*$I$36+G37*$I$37+G38*$I$38+G39*$I$39+G40*I40)/$I$34</f>
        <v>1</v>
      </c>
      <c r="H42" s="320"/>
      <c r="I42" s="320"/>
      <c r="J42" s="320"/>
      <c r="K42" s="437"/>
      <c r="L42" s="333" t="s">
        <v>220</v>
      </c>
      <c r="M42" s="326">
        <f>SUM(M36:M41)</f>
        <v>7891.0199999999995</v>
      </c>
      <c r="N42" s="326">
        <f>SUM(N36:N41)</f>
        <v>960.80399999999997</v>
      </c>
      <c r="O42" s="326">
        <f>SUM(O36:O41)*V33</f>
        <v>7249.0242283200005</v>
      </c>
      <c r="P42" s="178"/>
      <c r="Q42" s="178"/>
      <c r="R42" s="326">
        <f>SUM(R36:R41)*V33</f>
        <v>8399.5181047946535</v>
      </c>
      <c r="S42" s="320"/>
      <c r="T42" s="320"/>
      <c r="U42" s="320"/>
      <c r="V42" s="320"/>
    </row>
    <row r="43" spans="1:26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310"/>
      <c r="L43" s="178"/>
      <c r="M43" s="178"/>
      <c r="N43" s="178"/>
      <c r="O43" s="483">
        <f>O42/R43</f>
        <v>0.86302858543540462</v>
      </c>
      <c r="P43" s="178"/>
      <c r="Q43" s="178"/>
      <c r="R43" s="435">
        <f>R42</f>
        <v>8399.5181047946535</v>
      </c>
      <c r="U43" s="79" t="s">
        <v>496</v>
      </c>
      <c r="V43" s="537">
        <f>V4+V15+W35+V26</f>
        <v>347715.00720308057</v>
      </c>
    </row>
    <row r="44" spans="1:26">
      <c r="A44" s="10"/>
      <c r="B44" s="178"/>
      <c r="C44" s="178"/>
      <c r="D44" s="178"/>
      <c r="E44" s="178"/>
      <c r="F44" s="178"/>
      <c r="J44" s="178"/>
      <c r="K44" s="178"/>
      <c r="L44" s="178"/>
      <c r="M44" s="178"/>
      <c r="N44" s="178"/>
      <c r="O44" s="178"/>
      <c r="R44" s="178"/>
    </row>
    <row r="45" spans="1:26" ht="15.75">
      <c r="A45" s="79" t="s">
        <v>50</v>
      </c>
      <c r="G45" s="79" t="s">
        <v>412</v>
      </c>
      <c r="H45" s="178"/>
      <c r="I45" s="178"/>
      <c r="J45" s="492"/>
      <c r="K45" s="178"/>
      <c r="L45" s="178" t="str">
        <f>A33</f>
        <v>Użyteczność publiczna</v>
      </c>
      <c r="M45" s="178"/>
      <c r="O45" s="494"/>
      <c r="R45" s="178" t="s">
        <v>503</v>
      </c>
      <c r="S45" s="207"/>
      <c r="T45" s="178"/>
      <c r="U45" s="178"/>
      <c r="V45" s="178"/>
    </row>
    <row r="46" spans="1:26" ht="33.75">
      <c r="A46" s="497" t="s">
        <v>304</v>
      </c>
      <c r="B46" s="497" t="s">
        <v>418</v>
      </c>
      <c r="C46" s="498"/>
      <c r="D46" s="499" t="s">
        <v>212</v>
      </c>
      <c r="G46" s="497" t="s">
        <v>304</v>
      </c>
      <c r="H46" s="497" t="s">
        <v>418</v>
      </c>
      <c r="I46" s="498"/>
      <c r="J46" s="499" t="s">
        <v>212</v>
      </c>
      <c r="K46" s="496"/>
      <c r="L46" s="497" t="s">
        <v>304</v>
      </c>
      <c r="M46" s="497" t="s">
        <v>418</v>
      </c>
      <c r="N46" s="498"/>
      <c r="O46" s="502" t="str">
        <f t="shared" ref="O46:O52" si="45">L35</f>
        <v>wskaźnik uśredniony</v>
      </c>
      <c r="P46" s="151">
        <f>S36</f>
        <v>160.29988917139318</v>
      </c>
      <c r="R46" s="498">
        <f>(S4*I2+S15*I13+S26*I24+S36*I34)/(I34+I24+I13+I2)</f>
        <v>160.96311412483328</v>
      </c>
      <c r="S46" s="178"/>
      <c r="T46" s="178"/>
      <c r="U46" s="178"/>
      <c r="V46" s="178"/>
    </row>
    <row r="47" spans="1:26">
      <c r="A47" s="500">
        <f t="shared" ref="A47:A52" si="46">B4</f>
        <v>0.30200000000000005</v>
      </c>
      <c r="B47" s="501">
        <f t="shared" ref="B47:B52" si="47">E4</f>
        <v>0.35</v>
      </c>
      <c r="C47" s="498">
        <f t="shared" ref="C47:C52" si="48">H4</f>
        <v>120</v>
      </c>
      <c r="D47" s="502">
        <f t="shared" ref="D47:D52" si="49">L4</f>
        <v>237</v>
      </c>
      <c r="E47" s="151">
        <f>S4</f>
        <v>178.20000000000002</v>
      </c>
      <c r="G47" s="500">
        <f t="shared" ref="G47:G52" si="50">B26</f>
        <v>0.16050000000000009</v>
      </c>
      <c r="H47" s="501">
        <f t="shared" ref="H47:H52" si="51">E26</f>
        <v>0.45</v>
      </c>
      <c r="I47" s="498">
        <f t="shared" ref="I47:I52" si="52">H26</f>
        <v>105</v>
      </c>
      <c r="J47" s="502">
        <f t="shared" ref="J47:J52" si="53">L26</f>
        <v>195.75</v>
      </c>
      <c r="K47" s="151">
        <f>S26</f>
        <v>129.36287500000003</v>
      </c>
      <c r="L47" s="500">
        <f t="shared" ref="L47:L52" si="54">B36</f>
        <v>0.27283395266966554</v>
      </c>
      <c r="M47" s="501">
        <f t="shared" ref="M47:M52" si="55">E36</f>
        <v>0.49056152927120666</v>
      </c>
      <c r="N47" s="498">
        <f t="shared" ref="N47:N52" si="56">H36</f>
        <v>130</v>
      </c>
      <c r="O47" s="502">
        <f t="shared" si="45"/>
        <v>201.32138590203107</v>
      </c>
      <c r="R47" s="178"/>
      <c r="S47" s="178"/>
      <c r="T47" s="178"/>
      <c r="U47" s="178"/>
    </row>
    <row r="48" spans="1:26" ht="15.75">
      <c r="A48" s="500">
        <f t="shared" si="46"/>
        <v>0.28000000000000003</v>
      </c>
      <c r="B48" s="501">
        <f t="shared" si="47"/>
        <v>0.3</v>
      </c>
      <c r="C48" s="498">
        <f t="shared" si="48"/>
        <v>110</v>
      </c>
      <c r="D48" s="502">
        <f t="shared" si="49"/>
        <v>208</v>
      </c>
      <c r="G48" s="500">
        <f t="shared" si="50"/>
        <v>0.15</v>
      </c>
      <c r="H48" s="501">
        <f t="shared" si="51"/>
        <v>0.4</v>
      </c>
      <c r="I48" s="498">
        <f t="shared" si="52"/>
        <v>100</v>
      </c>
      <c r="J48" s="502">
        <f t="shared" si="53"/>
        <v>184</v>
      </c>
      <c r="K48" s="496"/>
      <c r="L48" s="500">
        <f t="shared" si="54"/>
        <v>0.26618423626051241</v>
      </c>
      <c r="M48" s="501">
        <f t="shared" si="55"/>
        <v>0</v>
      </c>
      <c r="N48" s="498">
        <f t="shared" si="56"/>
        <v>100</v>
      </c>
      <c r="O48" s="502">
        <f t="shared" si="45"/>
        <v>240</v>
      </c>
      <c r="R48" s="178"/>
      <c r="S48" s="178"/>
      <c r="T48" s="178"/>
      <c r="U48" s="178"/>
      <c r="V48" s="178"/>
    </row>
    <row r="49" spans="1:26" ht="15.75">
      <c r="A49" s="500">
        <f t="shared" si="46"/>
        <v>0.1349999999999999</v>
      </c>
      <c r="B49" s="501">
        <f t="shared" si="47"/>
        <v>0.28000000000000003</v>
      </c>
      <c r="C49" s="498">
        <f t="shared" si="48"/>
        <v>110</v>
      </c>
      <c r="D49" s="502">
        <f t="shared" si="49"/>
        <v>153.19999999999999</v>
      </c>
      <c r="G49" s="500">
        <f t="shared" si="50"/>
        <v>7.0000000000000007E-2</v>
      </c>
      <c r="H49" s="501">
        <f t="shared" si="51"/>
        <v>0.3</v>
      </c>
      <c r="I49" s="498">
        <f t="shared" si="52"/>
        <v>90</v>
      </c>
      <c r="J49" s="502">
        <f t="shared" si="53"/>
        <v>139</v>
      </c>
      <c r="K49" s="496"/>
      <c r="L49" s="500">
        <f t="shared" si="54"/>
        <v>0</v>
      </c>
      <c r="M49" s="501">
        <f t="shared" si="55"/>
        <v>0.60813127602253247</v>
      </c>
      <c r="N49" s="498">
        <f t="shared" si="56"/>
        <v>90</v>
      </c>
      <c r="O49" s="502">
        <f t="shared" si="45"/>
        <v>117.43081067842272</v>
      </c>
      <c r="R49" s="178"/>
      <c r="S49" s="178"/>
      <c r="T49" s="178"/>
      <c r="U49" s="178"/>
      <c r="V49" s="178"/>
    </row>
    <row r="50" spans="1:26" ht="15.75">
      <c r="A50" s="500">
        <f t="shared" si="46"/>
        <v>1.4999999999999999E-2</v>
      </c>
      <c r="B50" s="501">
        <f t="shared" si="47"/>
        <v>0.2</v>
      </c>
      <c r="C50" s="498">
        <f t="shared" si="48"/>
        <v>105</v>
      </c>
      <c r="D50" s="502">
        <f t="shared" si="49"/>
        <v>125</v>
      </c>
      <c r="G50" s="500">
        <f t="shared" si="50"/>
        <v>0.18</v>
      </c>
      <c r="H50" s="501">
        <f t="shared" si="51"/>
        <v>0.1</v>
      </c>
      <c r="I50" s="498">
        <f t="shared" si="52"/>
        <v>90</v>
      </c>
      <c r="J50" s="502">
        <f t="shared" si="53"/>
        <v>117</v>
      </c>
      <c r="K50" s="496"/>
      <c r="L50" s="500">
        <f t="shared" si="54"/>
        <v>0</v>
      </c>
      <c r="M50" s="501">
        <f t="shared" si="55"/>
        <v>0</v>
      </c>
      <c r="N50" s="498">
        <f t="shared" si="56"/>
        <v>90</v>
      </c>
      <c r="O50" s="502">
        <f t="shared" si="45"/>
        <v>120</v>
      </c>
      <c r="Z50" s="531"/>
    </row>
    <row r="51" spans="1:26" ht="15.75">
      <c r="A51" s="500">
        <f t="shared" si="46"/>
        <v>0.23100000000000001</v>
      </c>
      <c r="B51" s="501">
        <f t="shared" si="47"/>
        <v>0.05</v>
      </c>
      <c r="C51" s="498">
        <f t="shared" si="48"/>
        <v>80</v>
      </c>
      <c r="D51" s="502">
        <f t="shared" si="49"/>
        <v>99</v>
      </c>
      <c r="G51" s="500">
        <f t="shared" si="50"/>
        <v>0.39</v>
      </c>
      <c r="H51" s="501">
        <f t="shared" si="51"/>
        <v>0</v>
      </c>
      <c r="I51" s="498">
        <f t="shared" si="52"/>
        <v>0</v>
      </c>
      <c r="J51" s="502">
        <f t="shared" si="53"/>
        <v>90</v>
      </c>
      <c r="K51" s="496"/>
      <c r="L51" s="500">
        <f t="shared" si="54"/>
        <v>0.460981811069822</v>
      </c>
      <c r="M51" s="501">
        <f t="shared" si="55"/>
        <v>0</v>
      </c>
      <c r="N51" s="498">
        <f t="shared" si="56"/>
        <v>0</v>
      </c>
      <c r="O51" s="502">
        <f t="shared" si="45"/>
        <v>90</v>
      </c>
      <c r="V51" s="143"/>
      <c r="Z51" s="531"/>
    </row>
    <row r="52" spans="1:26" ht="15.75">
      <c r="A52" s="500">
        <f t="shared" si="46"/>
        <v>3.6999999999999998E-2</v>
      </c>
      <c r="B52" s="501">
        <f t="shared" si="47"/>
        <v>0</v>
      </c>
      <c r="C52" s="498">
        <f t="shared" si="48"/>
        <v>0</v>
      </c>
      <c r="D52" s="502">
        <f t="shared" si="49"/>
        <v>80</v>
      </c>
      <c r="G52" s="500">
        <f t="shared" si="50"/>
        <v>4.9500000000000002E-2</v>
      </c>
      <c r="H52" s="501">
        <f t="shared" si="51"/>
        <v>0</v>
      </c>
      <c r="I52" s="498">
        <f t="shared" si="52"/>
        <v>0</v>
      </c>
      <c r="J52" s="502">
        <f t="shared" si="53"/>
        <v>90</v>
      </c>
      <c r="K52" s="316"/>
      <c r="L52" s="500">
        <f t="shared" si="54"/>
        <v>0</v>
      </c>
      <c r="M52" s="501">
        <f t="shared" si="55"/>
        <v>0</v>
      </c>
      <c r="N52" s="498">
        <f t="shared" si="56"/>
        <v>0</v>
      </c>
      <c r="O52" s="502">
        <f t="shared" si="45"/>
        <v>70</v>
      </c>
      <c r="V52" s="143"/>
      <c r="W52" s="515"/>
      <c r="Z52" s="531"/>
    </row>
    <row r="53" spans="1:26" ht="15.75">
      <c r="H53" s="178"/>
      <c r="I53" s="316"/>
      <c r="J53" s="316"/>
      <c r="K53" s="316"/>
      <c r="L53" s="178"/>
      <c r="M53" s="178"/>
      <c r="U53" s="84"/>
      <c r="Z53" s="531"/>
    </row>
    <row r="54" spans="1:26" ht="15.75">
      <c r="A54" s="79" t="s">
        <v>497</v>
      </c>
      <c r="G54" s="178" t="s">
        <v>54</v>
      </c>
      <c r="H54" s="178"/>
      <c r="I54" s="495">
        <f>I2</f>
        <v>270724</v>
      </c>
      <c r="J54" s="316"/>
      <c r="K54" s="316"/>
      <c r="L54" s="178"/>
      <c r="M54" s="178"/>
      <c r="Z54" s="531"/>
    </row>
    <row r="55" spans="1:26" ht="22.5">
      <c r="A55" s="497" t="s">
        <v>304</v>
      </c>
      <c r="B55" s="497" t="s">
        <v>418</v>
      </c>
      <c r="C55" s="498"/>
      <c r="D55" s="499" t="s">
        <v>212</v>
      </c>
      <c r="I55" s="495">
        <f>I13</f>
        <v>18011</v>
      </c>
      <c r="J55" s="316"/>
      <c r="K55" s="316"/>
      <c r="L55" s="178"/>
      <c r="M55" s="178"/>
      <c r="Z55" s="531"/>
    </row>
    <row r="56" spans="1:26" ht="15.75">
      <c r="A56" s="500">
        <f t="shared" ref="A56:A61" si="57">B15</f>
        <v>0</v>
      </c>
      <c r="B56" s="501">
        <f t="shared" ref="B56:B61" si="58">E15</f>
        <v>0</v>
      </c>
      <c r="C56" s="498">
        <f t="shared" ref="C56:C61" si="59">H15</f>
        <v>100</v>
      </c>
      <c r="D56" s="502">
        <f t="shared" ref="D56:D61" si="60">L15</f>
        <v>260</v>
      </c>
      <c r="E56" s="175">
        <f>S15</f>
        <v>121.34823163622232</v>
      </c>
      <c r="I56" s="495">
        <f>I24</f>
        <v>124770</v>
      </c>
      <c r="J56" s="316"/>
      <c r="K56" s="316"/>
      <c r="L56" s="178"/>
      <c r="M56" s="178"/>
      <c r="Z56" s="531"/>
    </row>
    <row r="57" spans="1:26" ht="15.75">
      <c r="A57" s="500">
        <f t="shared" si="57"/>
        <v>0.25734273499528065</v>
      </c>
      <c r="B57" s="501">
        <f t="shared" si="58"/>
        <v>1</v>
      </c>
      <c r="C57" s="498">
        <f t="shared" si="59"/>
        <v>90</v>
      </c>
      <c r="D57" s="502">
        <f t="shared" si="60"/>
        <v>90</v>
      </c>
      <c r="I57" s="495">
        <f>I34</f>
        <v>15339</v>
      </c>
      <c r="J57" s="316"/>
      <c r="K57" s="316"/>
      <c r="L57" s="178"/>
      <c r="M57" s="178"/>
      <c r="Z57" s="531"/>
    </row>
    <row r="58" spans="1:26" ht="15.75">
      <c r="A58" s="500">
        <f t="shared" si="57"/>
        <v>0.40608517017378271</v>
      </c>
      <c r="B58" s="501">
        <f t="shared" si="58"/>
        <v>0</v>
      </c>
      <c r="C58" s="498">
        <f t="shared" si="59"/>
        <v>80</v>
      </c>
      <c r="D58" s="502">
        <f t="shared" si="60"/>
        <v>170</v>
      </c>
      <c r="I58" s="495">
        <f>SUM(I54:I57)</f>
        <v>428844</v>
      </c>
      <c r="J58" s="316"/>
      <c r="K58" s="316"/>
      <c r="L58" s="178"/>
      <c r="M58" s="178"/>
      <c r="N58" s="316"/>
      <c r="Z58" s="532"/>
    </row>
    <row r="59" spans="1:26" ht="15.75">
      <c r="A59" s="500">
        <f t="shared" si="57"/>
        <v>0.17617011826106269</v>
      </c>
      <c r="B59" s="501">
        <f t="shared" si="58"/>
        <v>0.82</v>
      </c>
      <c r="C59" s="498">
        <f t="shared" si="59"/>
        <v>80</v>
      </c>
      <c r="D59" s="502">
        <f t="shared" si="60"/>
        <v>89</v>
      </c>
      <c r="J59" s="316"/>
      <c r="K59" s="316"/>
      <c r="L59" s="178"/>
      <c r="M59" s="178"/>
      <c r="Z59" s="533"/>
    </row>
    <row r="60" spans="1:26" ht="15.75">
      <c r="A60" s="500">
        <f t="shared" si="57"/>
        <v>0.16040197656987396</v>
      </c>
      <c r="B60" s="501">
        <f t="shared" si="58"/>
        <v>0.6</v>
      </c>
      <c r="C60" s="498">
        <f t="shared" si="59"/>
        <v>80</v>
      </c>
      <c r="D60" s="502">
        <f t="shared" si="60"/>
        <v>84</v>
      </c>
      <c r="J60" s="316"/>
      <c r="K60" s="316"/>
      <c r="L60" s="178"/>
      <c r="M60" s="178"/>
      <c r="Z60" s="533"/>
    </row>
    <row r="61" spans="1:26" ht="15.75">
      <c r="A61" s="500">
        <f t="shared" si="57"/>
        <v>0</v>
      </c>
      <c r="B61" s="501">
        <f t="shared" si="58"/>
        <v>0</v>
      </c>
      <c r="C61" s="498">
        <f t="shared" si="59"/>
        <v>0</v>
      </c>
      <c r="D61" s="502">
        <f t="shared" si="60"/>
        <v>80</v>
      </c>
      <c r="G61" s="321" t="s">
        <v>11</v>
      </c>
      <c r="H61" s="178"/>
      <c r="I61" s="978">
        <f>I4+I15+I26+I36</f>
        <v>105969.23300000002</v>
      </c>
      <c r="J61" s="980">
        <f>I61/$I$67</f>
        <v>0.24710438527763015</v>
      </c>
      <c r="K61" s="316"/>
      <c r="L61" s="178"/>
      <c r="M61" s="178"/>
      <c r="Z61" s="533"/>
    </row>
    <row r="62" spans="1:26" ht="25.5">
      <c r="G62" s="321" t="s">
        <v>12</v>
      </c>
      <c r="I62" s="978">
        <f t="shared" ref="I62:I65" si="61">I5+I16+I27+I37</f>
        <v>103236.22</v>
      </c>
      <c r="J62" s="980">
        <f t="shared" ref="J62:J66" si="62">I62/$I$67</f>
        <v>0.24073140815774502</v>
      </c>
      <c r="Z62" s="533"/>
    </row>
    <row r="63" spans="1:26" ht="25.5">
      <c r="G63" s="321" t="s">
        <v>13</v>
      </c>
      <c r="I63" s="978">
        <f t="shared" si="61"/>
        <v>52595.63999999997</v>
      </c>
      <c r="J63" s="980">
        <f t="shared" si="62"/>
        <v>0.12264515767971564</v>
      </c>
      <c r="Z63" s="532"/>
    </row>
    <row r="64" spans="1:26" ht="25.5">
      <c r="G64" s="321" t="s">
        <v>87</v>
      </c>
      <c r="I64" s="978">
        <f t="shared" si="61"/>
        <v>29692.46</v>
      </c>
      <c r="J64" s="980">
        <f t="shared" si="62"/>
        <v>6.9238371062670806E-2</v>
      </c>
      <c r="Z64" s="533"/>
    </row>
    <row r="65" spans="7:26" ht="25.5">
      <c r="G65" s="321" t="s">
        <v>472</v>
      </c>
      <c r="I65" s="978">
        <f t="shared" si="61"/>
        <v>121157.54400000001</v>
      </c>
      <c r="J65" s="980">
        <f t="shared" si="62"/>
        <v>0.28252125248342058</v>
      </c>
      <c r="Z65" s="533"/>
    </row>
    <row r="66" spans="7:26" ht="25.5">
      <c r="G66" s="321" t="s">
        <v>490</v>
      </c>
      <c r="I66" s="978">
        <f>I9+I20+I31+I41</f>
        <v>16192.902999999998</v>
      </c>
      <c r="J66" s="980">
        <f t="shared" si="62"/>
        <v>3.7759425338817841E-2</v>
      </c>
      <c r="Z66" s="533"/>
    </row>
    <row r="67" spans="7:26" ht="15.75">
      <c r="I67" s="977">
        <f>SUM(I61:I66)</f>
        <v>428844</v>
      </c>
      <c r="J67" s="316"/>
      <c r="K67" s="316"/>
      <c r="L67" s="316"/>
      <c r="M67" s="178"/>
      <c r="N67" s="178"/>
      <c r="Z67" s="533"/>
    </row>
    <row r="68" spans="7:26" ht="15.75">
      <c r="I68" s="178"/>
      <c r="J68" s="316"/>
      <c r="K68" s="316"/>
      <c r="L68" s="316"/>
      <c r="M68" s="178"/>
      <c r="N68" s="178"/>
      <c r="Z68" s="532"/>
    </row>
    <row r="69" spans="7:26" ht="15.75">
      <c r="I69" s="178"/>
      <c r="J69" s="316"/>
      <c r="K69" s="316"/>
      <c r="L69" s="316"/>
      <c r="M69" s="178"/>
      <c r="N69" s="178"/>
      <c r="Z69" s="533"/>
    </row>
    <row r="70" spans="7:26" ht="15.75">
      <c r="I70" s="178"/>
      <c r="J70" s="316"/>
      <c r="K70" s="316"/>
      <c r="L70" s="316"/>
      <c r="M70" s="178"/>
      <c r="N70" s="178"/>
      <c r="Z70" s="533"/>
    </row>
    <row r="71" spans="7:26" ht="15.75">
      <c r="I71" s="178"/>
      <c r="J71" s="316"/>
      <c r="K71" s="316"/>
      <c r="L71" s="316"/>
      <c r="M71" s="178"/>
      <c r="N71" s="178"/>
      <c r="Z71" s="533"/>
    </row>
    <row r="72" spans="7:26" ht="15.75">
      <c r="I72" s="178"/>
      <c r="J72" s="316"/>
      <c r="K72" s="316"/>
      <c r="L72" s="316"/>
      <c r="M72" s="178"/>
      <c r="N72" s="178"/>
      <c r="Z72" s="533"/>
    </row>
    <row r="73" spans="7:26" ht="15.75">
      <c r="I73" s="178"/>
      <c r="J73" s="316"/>
      <c r="K73" s="316"/>
      <c r="L73" s="316"/>
      <c r="M73" s="178"/>
      <c r="N73" s="178"/>
      <c r="Z73" s="532"/>
    </row>
    <row r="74" spans="7:26" ht="15.75">
      <c r="I74" s="178"/>
      <c r="J74" s="316"/>
      <c r="K74" s="316"/>
      <c r="L74" s="316"/>
      <c r="M74" s="178"/>
      <c r="N74" s="178"/>
      <c r="Z74" s="533"/>
    </row>
    <row r="75" spans="7:26" ht="15.75">
      <c r="I75" s="178"/>
      <c r="J75" s="316"/>
      <c r="K75" s="316"/>
      <c r="L75" s="316"/>
      <c r="M75" s="178"/>
      <c r="N75" s="178"/>
      <c r="Z75" s="533"/>
    </row>
    <row r="76" spans="7:26" ht="15.75">
      <c r="I76" s="178"/>
      <c r="J76" s="316"/>
      <c r="K76" s="316"/>
      <c r="L76" s="316"/>
      <c r="M76" s="178"/>
      <c r="N76" s="178"/>
      <c r="Z76" s="533"/>
    </row>
    <row r="77" spans="7:26" ht="15.75">
      <c r="I77" s="178"/>
      <c r="J77" s="316"/>
      <c r="K77" s="316"/>
      <c r="L77" s="316"/>
      <c r="M77" s="178"/>
      <c r="N77" s="178"/>
      <c r="Z77" s="533"/>
    </row>
    <row r="78" spans="7:26" ht="15.75">
      <c r="I78" s="178"/>
      <c r="J78" s="316"/>
      <c r="K78" s="316"/>
      <c r="L78" s="316"/>
      <c r="M78" s="178"/>
      <c r="N78" s="178"/>
      <c r="Z78" s="532"/>
    </row>
    <row r="79" spans="7:26" ht="15.75">
      <c r="I79" s="178"/>
      <c r="J79" s="316"/>
      <c r="K79" s="316"/>
      <c r="L79" s="316"/>
      <c r="M79" s="178"/>
      <c r="N79" s="178"/>
      <c r="Z79" s="533"/>
    </row>
    <row r="80" spans="7:26" ht="15.75">
      <c r="I80" s="178"/>
      <c r="J80" s="316"/>
      <c r="K80" s="316"/>
      <c r="L80" s="316"/>
      <c r="M80" s="178"/>
      <c r="N80" s="178"/>
      <c r="Z80" s="533"/>
    </row>
    <row r="81" spans="9:26" ht="15.75">
      <c r="I81" s="178"/>
      <c r="J81" s="316"/>
      <c r="K81" s="316"/>
      <c r="L81" s="316"/>
      <c r="M81" s="178"/>
      <c r="N81" s="178"/>
      <c r="Z81" s="533"/>
    </row>
    <row r="82" spans="9:26" ht="15.75">
      <c r="I82" s="178"/>
      <c r="J82" s="316"/>
      <c r="K82" s="316"/>
      <c r="L82" s="316"/>
      <c r="M82" s="178"/>
      <c r="N82" s="178"/>
      <c r="Z82" s="533"/>
    </row>
    <row r="83" spans="9:26" ht="15.75">
      <c r="I83" s="178"/>
      <c r="J83" s="316"/>
      <c r="K83" s="316"/>
      <c r="L83" s="316"/>
      <c r="M83" s="178"/>
      <c r="N83" s="178"/>
      <c r="Z83" s="532"/>
    </row>
    <row r="84" spans="9:26" ht="15.75">
      <c r="I84" s="178"/>
      <c r="J84" s="316"/>
      <c r="K84" s="316"/>
      <c r="L84" s="316"/>
      <c r="M84" s="178"/>
      <c r="N84" s="178"/>
      <c r="Z84" s="533"/>
    </row>
    <row r="85" spans="9:26" ht="15.75">
      <c r="I85" s="178"/>
      <c r="J85" s="316"/>
      <c r="K85" s="316"/>
      <c r="L85" s="316"/>
      <c r="M85" s="178"/>
      <c r="N85" s="178"/>
      <c r="Z85" s="533"/>
    </row>
    <row r="86" spans="9:26" ht="15.75">
      <c r="I86" s="178"/>
      <c r="J86" s="316"/>
      <c r="K86" s="316"/>
      <c r="L86" s="316"/>
      <c r="M86" s="178"/>
      <c r="N86" s="178"/>
      <c r="Z86" s="533"/>
    </row>
    <row r="87" spans="9:26" ht="15.75">
      <c r="I87" s="178"/>
      <c r="J87" s="316"/>
      <c r="K87" s="316"/>
      <c r="L87" s="316"/>
      <c r="M87" s="178"/>
      <c r="N87" s="178"/>
      <c r="Z87" s="533"/>
    </row>
    <row r="88" spans="9:26" ht="15.75">
      <c r="I88" s="178"/>
      <c r="J88" s="316"/>
      <c r="K88" s="316"/>
      <c r="L88" s="316"/>
      <c r="M88" s="178"/>
      <c r="N88" s="178"/>
      <c r="Z88" s="532"/>
    </row>
    <row r="89" spans="9:26" ht="15.75">
      <c r="I89" s="178"/>
      <c r="J89" s="316"/>
      <c r="K89" s="316"/>
      <c r="L89" s="316"/>
      <c r="M89" s="178"/>
      <c r="N89" s="178"/>
      <c r="Z89" s="533"/>
    </row>
    <row r="90" spans="9:26">
      <c r="I90" s="178"/>
      <c r="J90" s="178"/>
      <c r="K90" s="178"/>
      <c r="L90" s="178"/>
      <c r="M90" s="178"/>
      <c r="N90" s="178"/>
      <c r="Z90" s="533"/>
    </row>
    <row r="91" spans="9:26">
      <c r="I91" s="178"/>
      <c r="J91" s="178"/>
      <c r="K91" s="178"/>
      <c r="L91" s="178"/>
      <c r="M91" s="178"/>
      <c r="N91" s="178"/>
      <c r="Z91" s="533"/>
    </row>
    <row r="92" spans="9:26">
      <c r="I92" s="178"/>
      <c r="J92" s="178"/>
      <c r="K92" s="178"/>
      <c r="L92" s="178"/>
      <c r="M92" s="178"/>
      <c r="N92" s="178"/>
      <c r="Z92" s="533"/>
    </row>
    <row r="93" spans="9:26">
      <c r="I93" s="178"/>
      <c r="J93" s="178"/>
      <c r="K93" s="178"/>
      <c r="L93" s="178"/>
      <c r="M93" s="178"/>
      <c r="N93" s="178"/>
      <c r="Z93" s="532"/>
    </row>
    <row r="94" spans="9:26">
      <c r="I94" s="178"/>
      <c r="J94" s="178"/>
      <c r="K94" s="178"/>
      <c r="L94" s="178"/>
      <c r="M94" s="178"/>
      <c r="N94" s="178"/>
      <c r="Z94" s="533"/>
    </row>
    <row r="95" spans="9:26">
      <c r="I95" s="178"/>
      <c r="J95" s="178"/>
      <c r="K95" s="178"/>
      <c r="L95" s="178"/>
      <c r="M95" s="178"/>
      <c r="N95" s="178"/>
      <c r="Z95" s="533"/>
    </row>
    <row r="96" spans="9:26">
      <c r="I96" s="178"/>
      <c r="J96" s="178"/>
      <c r="K96" s="178"/>
      <c r="L96" s="178"/>
      <c r="M96" s="178"/>
      <c r="N96" s="178"/>
      <c r="Z96" s="533"/>
    </row>
    <row r="97" spans="9:26">
      <c r="I97" s="178"/>
      <c r="J97" s="178"/>
      <c r="K97" s="178"/>
      <c r="L97" s="178"/>
      <c r="M97" s="178"/>
      <c r="N97" s="178"/>
      <c r="Z97" s="533"/>
    </row>
    <row r="98" spans="9:26">
      <c r="I98" s="178"/>
      <c r="J98" s="178"/>
      <c r="K98" s="178"/>
      <c r="L98" s="178"/>
      <c r="M98" s="178"/>
      <c r="N98" s="178"/>
      <c r="Z98" s="532"/>
    </row>
    <row r="99" spans="9:26">
      <c r="I99" s="178"/>
      <c r="J99" s="178"/>
      <c r="K99" s="178"/>
      <c r="L99" s="178"/>
      <c r="M99" s="178"/>
      <c r="N99" s="178"/>
      <c r="Z99" s="533"/>
    </row>
    <row r="100" spans="9:26">
      <c r="I100" s="178"/>
      <c r="J100" s="178"/>
      <c r="K100" s="178"/>
      <c r="L100" s="178"/>
      <c r="M100" s="178"/>
      <c r="N100" s="178"/>
      <c r="Z100" s="533"/>
    </row>
    <row r="101" spans="9:26">
      <c r="I101" s="178"/>
      <c r="J101" s="178"/>
      <c r="K101" s="178"/>
      <c r="L101" s="178"/>
      <c r="M101" s="178"/>
      <c r="N101" s="178"/>
      <c r="Z101" s="533"/>
    </row>
    <row r="102" spans="9:26">
      <c r="I102" s="178"/>
      <c r="J102" s="178"/>
      <c r="K102" s="178"/>
      <c r="L102" s="178"/>
      <c r="M102" s="178"/>
      <c r="N102" s="178"/>
      <c r="Z102" s="533"/>
    </row>
    <row r="103" spans="9:26">
      <c r="I103" s="178"/>
      <c r="J103" s="178"/>
      <c r="K103" s="178"/>
      <c r="L103" s="178"/>
      <c r="M103" s="178"/>
      <c r="N103" s="178"/>
    </row>
    <row r="104" spans="9:26">
      <c r="I104" s="178"/>
      <c r="J104" s="178"/>
      <c r="K104" s="178"/>
      <c r="L104" s="178"/>
      <c r="M104" s="178"/>
      <c r="N104" s="178"/>
    </row>
    <row r="105" spans="9:26" ht="15.75">
      <c r="I105" s="178"/>
      <c r="J105" s="178"/>
      <c r="K105" s="317"/>
      <c r="L105" s="1068"/>
      <c r="M105" s="1068"/>
      <c r="N105" s="317"/>
    </row>
    <row r="106" spans="9:26" ht="15.75">
      <c r="I106" s="178"/>
      <c r="J106" s="178"/>
      <c r="K106" s="314"/>
      <c r="L106" s="1067"/>
      <c r="M106" s="314"/>
      <c r="N106" s="314"/>
    </row>
    <row r="107" spans="9:26" ht="15.75">
      <c r="I107" s="178"/>
      <c r="J107" s="178"/>
      <c r="K107" s="314"/>
      <c r="L107" s="1067"/>
      <c r="M107" s="314"/>
      <c r="N107" s="314"/>
    </row>
    <row r="108" spans="9:26" ht="15.75">
      <c r="I108" s="178"/>
      <c r="J108" s="178"/>
      <c r="K108" s="314"/>
      <c r="L108" s="1067"/>
      <c r="M108" s="314"/>
      <c r="N108" s="314"/>
    </row>
    <row r="109" spans="9:26" ht="15.75">
      <c r="I109" s="178"/>
      <c r="J109" s="178"/>
      <c r="K109" s="314"/>
      <c r="L109" s="1067"/>
      <c r="M109" s="314"/>
      <c r="N109" s="314"/>
    </row>
    <row r="110" spans="9:26" ht="15.75">
      <c r="I110" s="178"/>
      <c r="J110" s="178"/>
      <c r="K110" s="314"/>
      <c r="L110" s="1067"/>
      <c r="M110" s="314"/>
      <c r="N110" s="314"/>
    </row>
    <row r="111" spans="9:26" ht="15.75">
      <c r="I111" s="178"/>
      <c r="J111" s="178"/>
      <c r="K111" s="314"/>
      <c r="L111" s="1067"/>
      <c r="M111" s="314"/>
      <c r="N111" s="314"/>
    </row>
    <row r="112" spans="9:26" ht="21" customHeight="1">
      <c r="I112" s="178"/>
      <c r="J112" s="178"/>
      <c r="K112" s="314"/>
      <c r="L112" s="1067"/>
      <c r="M112" s="314"/>
      <c r="N112" s="314"/>
    </row>
    <row r="113" spans="9:14" ht="35.25" customHeight="1">
      <c r="I113" s="178"/>
      <c r="J113" s="178"/>
      <c r="K113" s="314"/>
      <c r="L113" s="1067"/>
      <c r="M113" s="314"/>
      <c r="N113" s="314"/>
    </row>
    <row r="114" spans="9:14" ht="32.25" customHeight="1">
      <c r="I114" s="178"/>
      <c r="J114" s="178"/>
      <c r="K114" s="314"/>
      <c r="L114" s="1067"/>
      <c r="M114" s="314"/>
      <c r="N114" s="314"/>
    </row>
    <row r="115" spans="9:14" ht="16.5" customHeight="1">
      <c r="I115" s="178"/>
      <c r="J115" s="178"/>
      <c r="K115" s="314"/>
      <c r="L115" s="1067"/>
      <c r="M115" s="314"/>
      <c r="N115" s="314"/>
    </row>
    <row r="116" spans="9:14" ht="34.5" customHeight="1">
      <c r="I116" s="178"/>
      <c r="J116" s="178"/>
      <c r="K116" s="314"/>
      <c r="L116" s="1067"/>
      <c r="M116" s="314"/>
      <c r="N116" s="314"/>
    </row>
    <row r="117" spans="9:14" ht="19.5" customHeight="1">
      <c r="I117" s="178"/>
      <c r="J117" s="178"/>
      <c r="K117" s="314"/>
      <c r="L117" s="1067"/>
      <c r="M117" s="314"/>
      <c r="N117" s="314"/>
    </row>
    <row r="118" spans="9:14" ht="20.25" customHeight="1">
      <c r="I118" s="178"/>
      <c r="J118" s="178"/>
      <c r="K118" s="314"/>
      <c r="L118" s="1067"/>
      <c r="M118" s="314"/>
      <c r="N118" s="314"/>
    </row>
    <row r="119" spans="9:14" ht="15.75">
      <c r="I119" s="178"/>
      <c r="J119" s="178"/>
      <c r="K119" s="314"/>
      <c r="L119" s="1067"/>
      <c r="M119" s="314"/>
      <c r="N119" s="314"/>
    </row>
    <row r="120" spans="9:14" ht="15">
      <c r="I120" s="178"/>
      <c r="J120" s="178"/>
      <c r="K120" s="318"/>
      <c r="L120" s="318"/>
      <c r="M120" s="318"/>
      <c r="N120" s="318"/>
    </row>
    <row r="121" spans="9:14" ht="15.75" customHeight="1">
      <c r="I121" s="178"/>
      <c r="J121" s="178"/>
      <c r="K121" s="1067"/>
      <c r="L121" s="1067"/>
      <c r="M121" s="1067"/>
      <c r="N121" s="1067"/>
    </row>
    <row r="122" spans="9:14" ht="15.75" customHeight="1">
      <c r="I122" s="178"/>
      <c r="J122" s="178"/>
      <c r="K122" s="1067"/>
      <c r="L122" s="1067"/>
      <c r="M122" s="1067"/>
      <c r="N122" s="1067"/>
    </row>
    <row r="123" spans="9:14" ht="31.5" customHeight="1">
      <c r="I123" s="178"/>
      <c r="J123" s="178"/>
      <c r="K123" s="1067"/>
      <c r="L123" s="1067"/>
      <c r="M123" s="1067"/>
      <c r="N123" s="1067"/>
    </row>
    <row r="124" spans="9:14" ht="15.75" customHeight="1">
      <c r="I124" s="178"/>
      <c r="J124" s="178"/>
      <c r="K124" s="1067"/>
      <c r="L124" s="1067"/>
      <c r="M124" s="1067"/>
      <c r="N124" s="1067"/>
    </row>
    <row r="125" spans="9:14" ht="31.5" customHeight="1">
      <c r="I125" s="178"/>
      <c r="J125" s="178"/>
      <c r="K125" s="1067"/>
      <c r="L125" s="1067"/>
      <c r="M125" s="1067"/>
      <c r="N125" s="1067"/>
    </row>
    <row r="126" spans="9:14" ht="15.75">
      <c r="I126" s="178"/>
      <c r="J126" s="178"/>
      <c r="K126" s="1067"/>
      <c r="L126" s="1067"/>
      <c r="M126" s="1067"/>
      <c r="N126" s="1067"/>
    </row>
    <row r="127" spans="9:14">
      <c r="I127" s="178"/>
      <c r="J127" s="178"/>
      <c r="K127" s="178"/>
      <c r="L127" s="178"/>
      <c r="M127" s="178"/>
      <c r="N127" s="178"/>
    </row>
    <row r="128" spans="9:14">
      <c r="I128" s="178"/>
      <c r="J128" s="178"/>
      <c r="K128" s="178"/>
      <c r="L128" s="178"/>
      <c r="M128" s="178"/>
      <c r="N128" s="178"/>
    </row>
    <row r="129" spans="9:14">
      <c r="I129" s="178"/>
      <c r="J129" s="178"/>
      <c r="K129" s="178"/>
      <c r="L129" s="178"/>
      <c r="M129" s="178"/>
      <c r="N129" s="178"/>
    </row>
    <row r="130" spans="9:14">
      <c r="I130" s="178"/>
      <c r="J130" s="178"/>
      <c r="K130" s="178"/>
      <c r="L130" s="178"/>
      <c r="M130" s="178"/>
      <c r="N130" s="178"/>
    </row>
    <row r="131" spans="9:14">
      <c r="I131" s="178"/>
      <c r="J131" s="178"/>
      <c r="K131" s="178"/>
      <c r="L131" s="178"/>
      <c r="M131" s="178"/>
      <c r="N131" s="178"/>
    </row>
    <row r="132" spans="9:14">
      <c r="I132" s="178"/>
      <c r="J132" s="178"/>
      <c r="K132" s="178"/>
      <c r="L132" s="178"/>
      <c r="M132" s="178"/>
      <c r="N132" s="178"/>
    </row>
    <row r="133" spans="9:14">
      <c r="I133" s="178"/>
      <c r="J133" s="178"/>
      <c r="K133" s="178"/>
      <c r="L133" s="178"/>
      <c r="M133" s="178"/>
      <c r="N133" s="178"/>
    </row>
  </sheetData>
  <mergeCells count="34">
    <mergeCell ref="U28:U31"/>
    <mergeCell ref="P35:Q35"/>
    <mergeCell ref="S36:S41"/>
    <mergeCell ref="T36:T41"/>
    <mergeCell ref="V36:V41"/>
    <mergeCell ref="U38:U41"/>
    <mergeCell ref="P3:Q3"/>
    <mergeCell ref="S4:S9"/>
    <mergeCell ref="T4:T9"/>
    <mergeCell ref="U6:U9"/>
    <mergeCell ref="W4:W9"/>
    <mergeCell ref="L105:M105"/>
    <mergeCell ref="V4:V9"/>
    <mergeCell ref="L106:L112"/>
    <mergeCell ref="L113:L114"/>
    <mergeCell ref="L115:L117"/>
    <mergeCell ref="U17:U20"/>
    <mergeCell ref="P34:Q34"/>
    <mergeCell ref="P14:Q14"/>
    <mergeCell ref="S15:S20"/>
    <mergeCell ref="T15:T20"/>
    <mergeCell ref="V15:V20"/>
    <mergeCell ref="P24:Q24"/>
    <mergeCell ref="P25:Q25"/>
    <mergeCell ref="S26:S31"/>
    <mergeCell ref="T26:T31"/>
    <mergeCell ref="V26:V31"/>
    <mergeCell ref="L118:L119"/>
    <mergeCell ref="K126:N126"/>
    <mergeCell ref="K121:N121"/>
    <mergeCell ref="K122:N122"/>
    <mergeCell ref="K123:N123"/>
    <mergeCell ref="K124:N124"/>
    <mergeCell ref="K125:N125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AE166"/>
  <sheetViews>
    <sheetView zoomScale="85" zoomScaleNormal="85" workbookViewId="0">
      <pane xSplit="1" ySplit="1" topLeftCell="B71" activePane="bottomRight" state="frozen"/>
      <selection pane="topRight" activeCell="B1" sqref="B1"/>
      <selection pane="bottomLeft" activeCell="A2" sqref="A2"/>
      <selection pane="bottomRight" activeCell="R59" sqref="R59"/>
    </sheetView>
  </sheetViews>
  <sheetFormatPr defaultColWidth="9.140625" defaultRowHeight="12.75"/>
  <cols>
    <col min="1" max="1" width="10.28515625" style="625" customWidth="1"/>
    <col min="2" max="2" width="13" style="625" customWidth="1"/>
    <col min="3" max="3" width="10.42578125" style="625" customWidth="1"/>
    <col min="4" max="4" width="10" style="625" customWidth="1"/>
    <col min="5" max="5" width="15.28515625" style="625" bestFit="1" customWidth="1"/>
    <col min="6" max="6" width="12" style="625" bestFit="1" customWidth="1"/>
    <col min="7" max="7" width="10.85546875" style="625" bestFit="1" customWidth="1"/>
    <col min="8" max="8" width="12.7109375" style="625" customWidth="1"/>
    <col min="9" max="9" width="12" style="625" customWidth="1"/>
    <col min="10" max="10" width="11" style="625" bestFit="1" customWidth="1"/>
    <col min="11" max="11" width="19.28515625" style="625" customWidth="1"/>
    <col min="12" max="12" width="9.28515625" style="625" bestFit="1" customWidth="1"/>
    <col min="13" max="13" width="9.7109375" style="625" bestFit="1" customWidth="1"/>
    <col min="14" max="14" width="11.5703125" style="625" bestFit="1" customWidth="1"/>
    <col min="15" max="15" width="9.7109375" style="625" bestFit="1" customWidth="1"/>
    <col min="16" max="16" width="9.140625" style="625"/>
    <col min="17" max="17" width="9.5703125" style="625" customWidth="1"/>
    <col min="18" max="18" width="11.5703125" style="625" customWidth="1"/>
    <col min="19" max="19" width="5.28515625" style="625" customWidth="1"/>
    <col min="20" max="20" width="11" style="625" customWidth="1"/>
    <col min="21" max="21" width="15.28515625" style="625" customWidth="1"/>
    <col min="22" max="22" width="9.85546875" style="625" bestFit="1" customWidth="1"/>
    <col min="23" max="24" width="10.85546875" style="625" bestFit="1" customWidth="1"/>
    <col min="25" max="16384" width="9.140625" style="625"/>
  </cols>
  <sheetData>
    <row r="1" spans="1:31" ht="18">
      <c r="A1" s="1082">
        <v>2020</v>
      </c>
      <c r="B1" s="1082"/>
      <c r="C1" s="1082"/>
      <c r="D1" s="1082"/>
      <c r="E1" s="1082"/>
      <c r="F1" s="1082"/>
      <c r="G1" s="1082"/>
      <c r="H1" s="1082"/>
      <c r="I1" s="1082"/>
      <c r="J1" s="1082"/>
      <c r="K1" s="1082"/>
      <c r="L1" s="1082"/>
      <c r="M1" s="1082"/>
      <c r="N1" s="1082"/>
      <c r="O1" s="1082"/>
      <c r="P1" s="1082"/>
      <c r="Q1" s="1082"/>
      <c r="R1" s="1082"/>
    </row>
    <row r="2" spans="1:31" ht="15.75">
      <c r="A2" s="626" t="s">
        <v>307</v>
      </c>
      <c r="D2" s="627" t="s">
        <v>301</v>
      </c>
      <c r="E2" s="628" t="s">
        <v>309</v>
      </c>
      <c r="L2" s="629" t="s">
        <v>467</v>
      </c>
      <c r="M2" s="629"/>
      <c r="N2" s="629"/>
      <c r="O2" s="629"/>
      <c r="T2" s="630" t="s">
        <v>470</v>
      </c>
      <c r="U2" s="630"/>
      <c r="V2" s="630"/>
      <c r="W2" s="630"/>
    </row>
    <row r="3" spans="1:31">
      <c r="A3" s="631"/>
      <c r="B3" s="632"/>
      <c r="C3" s="633"/>
      <c r="D3" s="633"/>
      <c r="E3" s="634">
        <f>E5+E6</f>
        <v>286967.44</v>
      </c>
      <c r="F3" s="635"/>
      <c r="G3" s="635"/>
      <c r="H3" s="635"/>
      <c r="I3" s="635"/>
      <c r="J3" s="635"/>
      <c r="K3" s="635"/>
      <c r="L3" s="636" t="s">
        <v>315</v>
      </c>
      <c r="M3" s="636" t="s">
        <v>303</v>
      </c>
      <c r="N3" s="635"/>
      <c r="O3" s="633"/>
      <c r="P3" s="637">
        <v>0.9</v>
      </c>
      <c r="Q3" s="638">
        <f>BILANS!V1</f>
        <v>0.8</v>
      </c>
      <c r="R3" s="632"/>
    </row>
    <row r="4" spans="1:31" ht="33" customHeight="1">
      <c r="A4" s="639"/>
      <c r="B4" s="640" t="s">
        <v>408</v>
      </c>
      <c r="C4" s="639" t="s">
        <v>410</v>
      </c>
      <c r="D4" s="641" t="s">
        <v>308</v>
      </c>
      <c r="E4" s="642" t="s">
        <v>209</v>
      </c>
      <c r="F4" s="643" t="s">
        <v>210</v>
      </c>
      <c r="G4" s="643" t="s">
        <v>211</v>
      </c>
      <c r="H4" s="644" t="s">
        <v>212</v>
      </c>
      <c r="I4" s="645" t="s">
        <v>310</v>
      </c>
      <c r="J4" s="645" t="s">
        <v>311</v>
      </c>
      <c r="K4" s="645" t="s">
        <v>312</v>
      </c>
      <c r="L4" s="1084" t="s">
        <v>314</v>
      </c>
      <c r="M4" s="1085"/>
      <c r="N4" s="645" t="s">
        <v>313</v>
      </c>
      <c r="O4" s="646" t="s">
        <v>316</v>
      </c>
      <c r="P4" s="647" t="s">
        <v>321</v>
      </c>
      <c r="Q4" s="647" t="s">
        <v>323</v>
      </c>
      <c r="R4" s="647" t="s">
        <v>324</v>
      </c>
      <c r="T4" s="888">
        <v>1</v>
      </c>
      <c r="U4" s="887" t="s">
        <v>635</v>
      </c>
      <c r="V4" s="84">
        <v>2014</v>
      </c>
      <c r="W4" s="991" t="s">
        <v>654</v>
      </c>
      <c r="X4" s="991" t="s">
        <v>655</v>
      </c>
      <c r="AC4" s="84"/>
      <c r="AD4" s="84"/>
    </row>
    <row r="5" spans="1:31" ht="15">
      <c r="A5" s="648" t="s">
        <v>475</v>
      </c>
      <c r="B5" s="874">
        <f>BILANS!F10-BILANS!E10</f>
        <v>7.0754325586205868E-2</v>
      </c>
      <c r="C5" s="650">
        <f>BILANS!S4</f>
        <v>178.20000000000002</v>
      </c>
      <c r="D5" s="648">
        <v>100</v>
      </c>
      <c r="E5" s="651">
        <f>BILANS!I2</f>
        <v>270724</v>
      </c>
      <c r="F5" s="652">
        <f>(1-B5)*E5</f>
        <v>251569.10596000002</v>
      </c>
      <c r="G5" s="653">
        <f>B5*E5</f>
        <v>19154.894039999999</v>
      </c>
      <c r="H5" s="654">
        <f>B5*D5+(1-B5)*C5</f>
        <v>172.66701173915871</v>
      </c>
      <c r="I5" s="655">
        <f>F5*C5*0.0036</f>
        <v>161386.61285545921</v>
      </c>
      <c r="J5" s="655">
        <f>G5*D5*0.0036</f>
        <v>6895.7618543999997</v>
      </c>
      <c r="K5" s="655">
        <f>I5+J5</f>
        <v>168282.3747098592</v>
      </c>
      <c r="L5" s="656">
        <f>BILANS!O11</f>
        <v>0.61668550807762579</v>
      </c>
      <c r="M5" s="657">
        <v>0.9</v>
      </c>
      <c r="N5" s="655">
        <f>I5/L5+J5/M5</f>
        <v>269361.98257449886</v>
      </c>
      <c r="O5" s="1086">
        <f>E5/E3*H5+E6/E3*C6</f>
        <v>168.97831296147049</v>
      </c>
      <c r="P5" s="1086">
        <f>P3*'CWU i pow.'!C5*Q3</f>
        <v>7745.8305078771373</v>
      </c>
      <c r="Q5" s="658" t="s">
        <v>322</v>
      </c>
      <c r="R5" s="1088">
        <f>(N7+P5+Q7)</f>
        <v>254918.07883772551</v>
      </c>
      <c r="T5" s="873">
        <f>E6/E3</f>
        <v>5.6603773584905669E-2</v>
      </c>
      <c r="U5" s="875" t="s">
        <v>626</v>
      </c>
      <c r="V5" s="84">
        <f>BILANS!V4</f>
        <v>259454.04284935602</v>
      </c>
      <c r="W5" s="992">
        <f>R5/V5-100%</f>
        <v>-1.7482726273277516E-2</v>
      </c>
      <c r="X5" s="218">
        <f>R5/BILANS!V4</f>
        <v>0.98251727372672248</v>
      </c>
      <c r="AC5" s="84" t="s">
        <v>658</v>
      </c>
      <c r="AD5" s="996">
        <v>-1.8200000000000001E-2</v>
      </c>
      <c r="AE5" s="996" t="s">
        <v>659</v>
      </c>
    </row>
    <row r="6" spans="1:31">
      <c r="A6" s="648" t="s">
        <v>476</v>
      </c>
      <c r="B6" s="659"/>
      <c r="C6" s="660">
        <v>107.5</v>
      </c>
      <c r="D6" s="648"/>
      <c r="E6" s="651">
        <f>'CWU i pow.'!L25-OPTI!E5</f>
        <v>16243.440000000002</v>
      </c>
      <c r="F6" s="652"/>
      <c r="G6" s="653"/>
      <c r="H6" s="654"/>
      <c r="I6" s="655">
        <f>E6*C6*0.0036</f>
        <v>6286.2112800000004</v>
      </c>
      <c r="J6" s="655"/>
      <c r="K6" s="655">
        <f>I6</f>
        <v>6286.2112800000004</v>
      </c>
      <c r="L6" s="657"/>
      <c r="M6" s="657"/>
      <c r="N6" s="655">
        <f>K6</f>
        <v>6286.2112800000004</v>
      </c>
      <c r="O6" s="1087"/>
      <c r="P6" s="1087"/>
      <c r="Q6" s="661">
        <v>0.7</v>
      </c>
      <c r="R6" s="1089"/>
      <c r="T6" s="680"/>
      <c r="V6" s="84"/>
      <c r="W6" s="84"/>
      <c r="X6" s="993">
        <v>1.11E-2</v>
      </c>
      <c r="Y6" s="84" t="s">
        <v>660</v>
      </c>
    </row>
    <row r="7" spans="1:31">
      <c r="A7" s="632"/>
      <c r="B7" s="632"/>
      <c r="C7" s="632"/>
      <c r="D7" s="632"/>
      <c r="E7" s="632"/>
      <c r="F7" s="662"/>
      <c r="G7" s="662"/>
      <c r="H7" s="663" t="s">
        <v>220</v>
      </c>
      <c r="I7" s="655">
        <f>SUM(I5:I6)</f>
        <v>167672.8241354592</v>
      </c>
      <c r="J7" s="655">
        <f>SUM(J5:J6)</f>
        <v>6895.7618543999997</v>
      </c>
      <c r="K7" s="655">
        <f>SUM(K5:K6)*Q3</f>
        <v>139654.86879188736</v>
      </c>
      <c r="L7" s="657"/>
      <c r="M7" s="657"/>
      <c r="N7" s="655">
        <f>SUM(N5:N6)*Q3</f>
        <v>220518.55508359909</v>
      </c>
      <c r="O7" s="632"/>
      <c r="P7" s="632"/>
      <c r="Q7" s="664">
        <f>'CWU i pow.'!C15/OPTI!Q6*Q3</f>
        <v>26653.693246249284</v>
      </c>
      <c r="R7" s="632"/>
      <c r="V7" s="84"/>
      <c r="W7" s="994" t="s">
        <v>656</v>
      </c>
      <c r="X7" s="84"/>
    </row>
    <row r="8" spans="1:31">
      <c r="A8" s="626" t="s">
        <v>325</v>
      </c>
      <c r="D8" s="665"/>
      <c r="H8" s="666"/>
      <c r="I8" s="667"/>
      <c r="J8" s="668"/>
      <c r="K8" s="667"/>
      <c r="L8" s="667"/>
      <c r="M8" s="667"/>
      <c r="N8" s="667"/>
      <c r="O8" s="667"/>
      <c r="T8" s="915">
        <f>B5*E5*$T$4/E3+E6/E3</f>
        <v>0.12335313734547726</v>
      </c>
      <c r="U8" s="84" t="s">
        <v>631</v>
      </c>
      <c r="V8" s="170" t="s">
        <v>657</v>
      </c>
      <c r="W8" s="995">
        <f>1-W5/X5</f>
        <v>1.0177938105932376</v>
      </c>
      <c r="X8" s="993">
        <f>1-W5/X6</f>
        <v>2.5750203849799562</v>
      </c>
    </row>
    <row r="9" spans="1:31">
      <c r="A9" s="631"/>
      <c r="B9" s="632"/>
      <c r="C9" s="633"/>
      <c r="D9" s="633"/>
      <c r="E9" s="634">
        <f>'CWU i pow.'!M25</f>
        <v>18461.274999999998</v>
      </c>
      <c r="F9" s="635"/>
      <c r="G9" s="635"/>
      <c r="H9" s="635"/>
      <c r="I9" s="635"/>
      <c r="J9" s="635"/>
      <c r="K9" s="635"/>
      <c r="L9" s="636" t="s">
        <v>315</v>
      </c>
      <c r="M9" s="636" t="s">
        <v>303</v>
      </c>
      <c r="N9" s="635"/>
      <c r="O9" s="633"/>
      <c r="P9" s="637">
        <v>0.8</v>
      </c>
      <c r="Q9" s="669">
        <f>BILANS!V13</f>
        <v>0.74580000000000002</v>
      </c>
      <c r="R9" s="632"/>
      <c r="V9" s="84"/>
      <c r="W9" s="84"/>
      <c r="X9" s="84"/>
    </row>
    <row r="10" spans="1:31" ht="31.5" customHeight="1">
      <c r="A10" s="639"/>
      <c r="B10" s="640" t="s">
        <v>408</v>
      </c>
      <c r="C10" s="639" t="s">
        <v>410</v>
      </c>
      <c r="D10" s="641" t="s">
        <v>308</v>
      </c>
      <c r="E10" s="642" t="s">
        <v>209</v>
      </c>
      <c r="F10" s="643" t="s">
        <v>210</v>
      </c>
      <c r="G10" s="643" t="s">
        <v>211</v>
      </c>
      <c r="H10" s="644" t="s">
        <v>212</v>
      </c>
      <c r="I10" s="645" t="s">
        <v>310</v>
      </c>
      <c r="J10" s="645" t="s">
        <v>311</v>
      </c>
      <c r="K10" s="645" t="s">
        <v>312</v>
      </c>
      <c r="L10" s="1084" t="s">
        <v>314</v>
      </c>
      <c r="M10" s="1085"/>
      <c r="N10" s="645" t="s">
        <v>313</v>
      </c>
      <c r="O10" s="646" t="s">
        <v>316</v>
      </c>
      <c r="P10" s="647" t="s">
        <v>321</v>
      </c>
      <c r="Q10" s="647" t="s">
        <v>323</v>
      </c>
      <c r="R10" s="647" t="s">
        <v>324</v>
      </c>
      <c r="V10" s="84">
        <v>2014</v>
      </c>
      <c r="W10" s="991" t="s">
        <v>654</v>
      </c>
      <c r="X10" s="991" t="s">
        <v>655</v>
      </c>
    </row>
    <row r="11" spans="1:31">
      <c r="A11" s="648" t="s">
        <v>475</v>
      </c>
      <c r="B11" s="649">
        <f>BILANS!F21-BILANS!E21</f>
        <v>0.24124923657764696</v>
      </c>
      <c r="C11" s="660">
        <f>BILANS!S15</f>
        <v>121.34823163622232</v>
      </c>
      <c r="D11" s="648">
        <v>80</v>
      </c>
      <c r="E11" s="651">
        <f>BILANS!I13</f>
        <v>18011</v>
      </c>
      <c r="F11" s="652">
        <f>(1-B11)*E11</f>
        <v>13665.86</v>
      </c>
      <c r="G11" s="653">
        <f>B11*E11</f>
        <v>4345.1399999999994</v>
      </c>
      <c r="H11" s="654">
        <f>B11*D11+(1-B11)*C11</f>
        <v>111.37300232014798</v>
      </c>
      <c r="I11" s="655">
        <f>F11*C11*0.0036</f>
        <v>5969.9806012374665</v>
      </c>
      <c r="J11" s="655">
        <f>G11*D11*0.0036</f>
        <v>1251.4003199999997</v>
      </c>
      <c r="K11" s="655">
        <f>I11+J11</f>
        <v>7221.3809212374663</v>
      </c>
      <c r="L11" s="656">
        <f>BILANS!O22</f>
        <v>0.87778490681720411</v>
      </c>
      <c r="M11" s="657">
        <v>0.98</v>
      </c>
      <c r="N11" s="655">
        <f>I11/L11+J11/M11</f>
        <v>8078.1275878217584</v>
      </c>
      <c r="O11" s="1086">
        <f>E11/E9*H11+E12/E9*C12</f>
        <v>110.85170958063217</v>
      </c>
      <c r="P11" s="1086">
        <f>P9*'CWU i pow.'!D5*Q9</f>
        <v>510.80468265128673</v>
      </c>
      <c r="Q11" s="658" t="s">
        <v>322</v>
      </c>
      <c r="R11" s="1088">
        <f>N13+P11+Q13</f>
        <v>8581.3313423399486</v>
      </c>
      <c r="T11" s="679">
        <f>E12/E9</f>
        <v>2.4390243902438911E-2</v>
      </c>
      <c r="V11" s="84">
        <f>BILANS!V15</f>
        <v>9286.3679931847782</v>
      </c>
      <c r="W11" s="992">
        <f>R11/V11-100%</f>
        <v>-7.5921679106648932E-2</v>
      </c>
      <c r="X11" s="218">
        <f>R11/BILANS!V15</f>
        <v>0.92407832089335107</v>
      </c>
    </row>
    <row r="12" spans="1:31">
      <c r="A12" s="648" t="s">
        <v>476</v>
      </c>
      <c r="B12" s="659"/>
      <c r="C12" s="660">
        <v>90</v>
      </c>
      <c r="D12" s="648"/>
      <c r="E12" s="651">
        <f>E9-E11</f>
        <v>450.27499999999782</v>
      </c>
      <c r="F12" s="652"/>
      <c r="G12" s="653"/>
      <c r="H12" s="654"/>
      <c r="I12" s="655">
        <f>E12*C12*0.0036</f>
        <v>145.8890999999993</v>
      </c>
      <c r="J12" s="655"/>
      <c r="K12" s="655">
        <f>I12</f>
        <v>145.8890999999993</v>
      </c>
      <c r="L12" s="657"/>
      <c r="M12" s="657"/>
      <c r="N12" s="655">
        <f>K12</f>
        <v>145.8890999999993</v>
      </c>
      <c r="O12" s="1087"/>
      <c r="P12" s="1087"/>
      <c r="Q12" s="661">
        <v>0.98</v>
      </c>
      <c r="R12" s="1089"/>
      <c r="V12" s="84"/>
      <c r="W12" s="84"/>
      <c r="X12" s="993">
        <v>2.8999999999999998E-3</v>
      </c>
      <c r="Y12" s="625">
        <f>R11/BILANS!V15</f>
        <v>0.92407832089335107</v>
      </c>
    </row>
    <row r="13" spans="1:31">
      <c r="A13" s="632"/>
      <c r="B13" s="632"/>
      <c r="C13" s="632"/>
      <c r="D13" s="632"/>
      <c r="E13" s="632"/>
      <c r="F13" s="662"/>
      <c r="G13" s="662"/>
      <c r="H13" s="663" t="s">
        <v>220</v>
      </c>
      <c r="I13" s="655">
        <f>SUM(I11:I12)</f>
        <v>6115.869701237466</v>
      </c>
      <c r="J13" s="655">
        <f>SUM(J11:J12)</f>
        <v>1251.4003199999997</v>
      </c>
      <c r="K13" s="655">
        <f>SUM(K11:K12)*Q9</f>
        <v>5494.5099818389017</v>
      </c>
      <c r="L13" s="657"/>
      <c r="M13" s="657"/>
      <c r="N13" s="655">
        <f>SUM(N11:N12)*Q9</f>
        <v>6133.4716457774666</v>
      </c>
      <c r="O13" s="632"/>
      <c r="P13" s="632"/>
      <c r="Q13" s="664">
        <f>'CWU i pow.'!D15/OPTI!Q12*Q9</f>
        <v>1937.0550139111954</v>
      </c>
      <c r="R13" s="632"/>
      <c r="V13" s="84"/>
      <c r="W13" s="994" t="s">
        <v>656</v>
      </c>
      <c r="X13" s="84"/>
    </row>
    <row r="14" spans="1:31">
      <c r="A14" s="626" t="s">
        <v>326</v>
      </c>
      <c r="B14" s="667"/>
      <c r="C14" s="667"/>
      <c r="D14" s="667"/>
      <c r="E14" s="667"/>
      <c r="F14" s="667"/>
      <c r="G14" s="667"/>
      <c r="H14" s="670"/>
      <c r="I14" s="671"/>
      <c r="J14" s="671"/>
      <c r="K14" s="671"/>
      <c r="L14" s="672"/>
      <c r="M14" s="672"/>
      <c r="N14" s="671"/>
      <c r="O14" s="667"/>
      <c r="P14" s="667"/>
      <c r="Q14" s="673"/>
      <c r="R14" s="667"/>
      <c r="T14" s="681">
        <f>B11*E11*$T$4/E9+E12/E9</f>
        <v>0.25975535275867989</v>
      </c>
      <c r="V14" s="170" t="s">
        <v>657</v>
      </c>
      <c r="W14" s="995">
        <f>1-W11/X11</f>
        <v>1.0821593553166053</v>
      </c>
      <c r="X14" s="993">
        <f>1-W11/X12</f>
        <v>27.179889347120323</v>
      </c>
    </row>
    <row r="15" spans="1:31">
      <c r="A15" s="631"/>
      <c r="B15" s="632"/>
      <c r="C15" s="633"/>
      <c r="D15" s="633"/>
      <c r="E15" s="634">
        <f>E17+E18</f>
        <v>134751.6</v>
      </c>
      <c r="F15" s="635"/>
      <c r="G15" s="635"/>
      <c r="H15" s="635"/>
      <c r="I15" s="635"/>
      <c r="J15" s="635"/>
      <c r="K15" s="635"/>
      <c r="L15" s="636" t="s">
        <v>315</v>
      </c>
      <c r="M15" s="636" t="s">
        <v>303</v>
      </c>
      <c r="N15" s="635"/>
      <c r="O15" s="633"/>
      <c r="P15" s="637">
        <v>0.8</v>
      </c>
      <c r="Q15" s="638">
        <f>BILANS!V23</f>
        <v>0.8</v>
      </c>
      <c r="R15" s="632"/>
    </row>
    <row r="16" spans="1:31" ht="33.75">
      <c r="A16" s="639"/>
      <c r="B16" s="640" t="s">
        <v>408</v>
      </c>
      <c r="C16" s="639" t="s">
        <v>410</v>
      </c>
      <c r="D16" s="641" t="s">
        <v>308</v>
      </c>
      <c r="E16" s="642" t="s">
        <v>209</v>
      </c>
      <c r="F16" s="643" t="s">
        <v>210</v>
      </c>
      <c r="G16" s="643" t="s">
        <v>211</v>
      </c>
      <c r="H16" s="644" t="s">
        <v>212</v>
      </c>
      <c r="I16" s="645" t="s">
        <v>310</v>
      </c>
      <c r="J16" s="645" t="s">
        <v>311</v>
      </c>
      <c r="K16" s="645" t="s">
        <v>312</v>
      </c>
      <c r="L16" s="1084" t="s">
        <v>314</v>
      </c>
      <c r="M16" s="1085"/>
      <c r="N16" s="645" t="s">
        <v>313</v>
      </c>
      <c r="O16" s="646" t="s">
        <v>316</v>
      </c>
      <c r="P16" s="647" t="s">
        <v>321</v>
      </c>
      <c r="Q16" s="647" t="s">
        <v>323</v>
      </c>
      <c r="R16" s="647" t="s">
        <v>324</v>
      </c>
    </row>
    <row r="17" spans="1:25">
      <c r="A17" s="648" t="s">
        <v>475</v>
      </c>
      <c r="B17" s="649">
        <f>BILANS!F32-BILANS!E32</f>
        <v>9.5049999999999968E-2</v>
      </c>
      <c r="C17" s="660">
        <f>BILANS!S26</f>
        <v>129.36287500000003</v>
      </c>
      <c r="D17" s="648">
        <v>90</v>
      </c>
      <c r="E17" s="651">
        <f>BILANS!I24</f>
        <v>124770</v>
      </c>
      <c r="F17" s="652">
        <f>(1-B17)*E17</f>
        <v>112910.6115</v>
      </c>
      <c r="G17" s="653">
        <f>B17*E17</f>
        <v>11859.388499999995</v>
      </c>
      <c r="H17" s="654">
        <f>B17*D17+(1-B17)*C17</f>
        <v>125.62143373125002</v>
      </c>
      <c r="I17" s="655">
        <f>F17*C17*0.0036</f>
        <v>52583.188757933036</v>
      </c>
      <c r="J17" s="655">
        <f>G17*D17*0.0036</f>
        <v>3842.4418739999987</v>
      </c>
      <c r="K17" s="655">
        <f>I17+J17</f>
        <v>56425.630631933032</v>
      </c>
      <c r="L17" s="656">
        <f>BILANS!O33</f>
        <v>0.67163743331471515</v>
      </c>
      <c r="M17" s="657">
        <v>0.9</v>
      </c>
      <c r="N17" s="655">
        <f>I17/L17+J17/M17</f>
        <v>82560.413310027594</v>
      </c>
      <c r="O17" s="1086">
        <f>E17/E15*H17+E18/E15*C18</f>
        <v>122.98280901041669</v>
      </c>
      <c r="P17" s="1086"/>
      <c r="Q17" s="658" t="s">
        <v>322</v>
      </c>
      <c r="R17" s="1088">
        <f>N19+P17+Q19</f>
        <v>70044.980518427634</v>
      </c>
      <c r="T17" s="679">
        <f>E18/E15</f>
        <v>7.4074074074074112E-2</v>
      </c>
      <c r="V17" s="84">
        <f>BILANS!V26</f>
        <v>70210.880460539745</v>
      </c>
      <c r="W17" s="992">
        <f>R17/V17-100%</f>
        <v>-2.3628808102663656E-3</v>
      </c>
      <c r="X17" s="218">
        <f>R17/BILANS!V26</f>
        <v>0.99763711918973363</v>
      </c>
    </row>
    <row r="18" spans="1:25">
      <c r="A18" s="648" t="s">
        <v>476</v>
      </c>
      <c r="B18" s="659"/>
      <c r="C18" s="660">
        <v>90</v>
      </c>
      <c r="D18" s="648"/>
      <c r="E18" s="651">
        <f>'CWU i pow.'!O25-OPTI!E17</f>
        <v>9981.6000000000058</v>
      </c>
      <c r="F18" s="652"/>
      <c r="G18" s="653"/>
      <c r="H18" s="654"/>
      <c r="I18" s="655">
        <f>E18*C18*0.0036</f>
        <v>3234.0384000000017</v>
      </c>
      <c r="J18" s="655"/>
      <c r="K18" s="655">
        <f>I18</f>
        <v>3234.0384000000017</v>
      </c>
      <c r="L18" s="657"/>
      <c r="M18" s="657"/>
      <c r="N18" s="655">
        <f>K18</f>
        <v>3234.0384000000017</v>
      </c>
      <c r="O18" s="1087"/>
      <c r="P18" s="1087"/>
      <c r="Q18" s="661">
        <v>0.7</v>
      </c>
      <c r="R18" s="1089"/>
      <c r="V18" s="84"/>
      <c r="W18" s="84"/>
      <c r="X18" s="993">
        <f>100%-Y18</f>
        <v>2.3628808102663656E-3</v>
      </c>
      <c r="Y18" s="625">
        <f>R17/BILANS!V26</f>
        <v>0.99763711918973363</v>
      </c>
    </row>
    <row r="19" spans="1:25">
      <c r="A19" s="632"/>
      <c r="B19" s="632"/>
      <c r="C19" s="632"/>
      <c r="D19" s="632"/>
      <c r="E19" s="632"/>
      <c r="F19" s="662"/>
      <c r="G19" s="662"/>
      <c r="H19" s="663" t="s">
        <v>220</v>
      </c>
      <c r="I19" s="655">
        <f>SUM(I17:I18)</f>
        <v>55817.227157933041</v>
      </c>
      <c r="J19" s="655">
        <f>SUM(J17:J18)</f>
        <v>3842.4418739999987</v>
      </c>
      <c r="K19" s="655">
        <f>SUM(K17:K18)*Q15</f>
        <v>47727.735225546436</v>
      </c>
      <c r="L19" s="657"/>
      <c r="M19" s="657"/>
      <c r="N19" s="655">
        <f>SUM(N17:N18)*Q15</f>
        <v>68635.561368022085</v>
      </c>
      <c r="O19" s="632"/>
      <c r="P19" s="632"/>
      <c r="Q19" s="664">
        <f>'CWU i pow.'!E15/OPTI!Q18*Q15</f>
        <v>1409.4191504055425</v>
      </c>
      <c r="R19" s="632"/>
      <c r="V19" s="84"/>
      <c r="W19" s="994" t="s">
        <v>656</v>
      </c>
      <c r="X19" s="84"/>
    </row>
    <row r="20" spans="1:25">
      <c r="A20" s="626" t="s">
        <v>414</v>
      </c>
      <c r="B20" s="667"/>
      <c r="C20" s="667"/>
      <c r="D20" s="667"/>
      <c r="E20" s="667"/>
      <c r="F20" s="667"/>
      <c r="G20" s="667"/>
      <c r="H20" s="670"/>
      <c r="I20" s="671"/>
      <c r="J20" s="671"/>
      <c r="K20" s="671"/>
      <c r="L20" s="672"/>
      <c r="M20" s="672"/>
      <c r="N20" s="671"/>
      <c r="O20" s="667"/>
      <c r="P20" s="667"/>
      <c r="Q20" s="673"/>
      <c r="R20" s="667"/>
      <c r="T20" s="681">
        <f>B17*E17*$T$4/E15+E18/E15</f>
        <v>0.16208333333333333</v>
      </c>
      <c r="V20" s="170" t="s">
        <v>657</v>
      </c>
      <c r="W20" s="995">
        <f>1-W17/X17</f>
        <v>1.0023684772396855</v>
      </c>
      <c r="X20" s="993">
        <f>1-W17/X18</f>
        <v>2</v>
      </c>
    </row>
    <row r="21" spans="1:25">
      <c r="A21" s="631"/>
      <c r="B21" s="632"/>
      <c r="C21" s="633"/>
      <c r="D21" s="633"/>
      <c r="E21" s="674">
        <f>E23+E24</f>
        <v>15799.17</v>
      </c>
      <c r="F21" s="635"/>
      <c r="G21" s="635"/>
      <c r="H21" s="635"/>
      <c r="I21" s="635"/>
      <c r="J21" s="635"/>
      <c r="K21" s="635"/>
      <c r="L21" s="636" t="s">
        <v>315</v>
      </c>
      <c r="M21" s="636" t="s">
        <v>303</v>
      </c>
      <c r="N21" s="635"/>
      <c r="O21" s="633"/>
      <c r="P21" s="637">
        <v>0.8</v>
      </c>
      <c r="Q21" s="638">
        <f>BILANS!V33</f>
        <v>0.81893000000000005</v>
      </c>
      <c r="R21" s="632"/>
    </row>
    <row r="22" spans="1:25" ht="33.75">
      <c r="A22" s="639"/>
      <c r="B22" s="640" t="s">
        <v>408</v>
      </c>
      <c r="C22" s="639" t="s">
        <v>410</v>
      </c>
      <c r="D22" s="641" t="s">
        <v>308</v>
      </c>
      <c r="E22" s="642" t="s">
        <v>209</v>
      </c>
      <c r="F22" s="643" t="s">
        <v>210</v>
      </c>
      <c r="G22" s="643" t="s">
        <v>211</v>
      </c>
      <c r="H22" s="644" t="s">
        <v>212</v>
      </c>
      <c r="I22" s="645" t="s">
        <v>310</v>
      </c>
      <c r="J22" s="645" t="s">
        <v>311</v>
      </c>
      <c r="K22" s="645" t="s">
        <v>312</v>
      </c>
      <c r="L22" s="1084" t="s">
        <v>314</v>
      </c>
      <c r="M22" s="1085"/>
      <c r="N22" s="645" t="s">
        <v>313</v>
      </c>
      <c r="O22" s="646" t="s">
        <v>316</v>
      </c>
      <c r="P22" s="647" t="s">
        <v>321</v>
      </c>
      <c r="Q22" s="647" t="s">
        <v>323</v>
      </c>
      <c r="R22" s="647" t="s">
        <v>324</v>
      </c>
    </row>
    <row r="23" spans="1:25">
      <c r="A23" s="648" t="s">
        <v>475</v>
      </c>
      <c r="B23" s="649">
        <f>BILANS!F42-BILANS!E42</f>
        <v>0.37625660082143553</v>
      </c>
      <c r="C23" s="650">
        <f>BILANS!S36</f>
        <v>160.29988917139318</v>
      </c>
      <c r="D23" s="648">
        <v>90</v>
      </c>
      <c r="E23" s="675">
        <f>BILANS!I34</f>
        <v>15339</v>
      </c>
      <c r="F23" s="652">
        <f>(1-B23)*E23</f>
        <v>9567.6</v>
      </c>
      <c r="G23" s="653">
        <f>B23*E23</f>
        <v>5771.4</v>
      </c>
      <c r="H23" s="654">
        <f>B23*D23+(1-B23)*C23</f>
        <v>133.84909183364113</v>
      </c>
      <c r="I23" s="655">
        <f>F23*C23*0.0036</f>
        <v>5521.2667906903971</v>
      </c>
      <c r="J23" s="655">
        <f>G23*D23*0.0036</f>
        <v>1869.9335999999998</v>
      </c>
      <c r="K23" s="655">
        <f>I23+J23</f>
        <v>7391.2003906903974</v>
      </c>
      <c r="L23" s="676">
        <f>BILANS!O43</f>
        <v>0.86302858543540462</v>
      </c>
      <c r="M23" s="657">
        <v>0.9</v>
      </c>
      <c r="N23" s="655">
        <f>I23/L23+J23/M23</f>
        <v>8475.2519884074463</v>
      </c>
      <c r="O23" s="1086">
        <f>E23/E21*H23+E24/E21*C24</f>
        <v>131.76047750838944</v>
      </c>
      <c r="P23" s="1086"/>
      <c r="Q23" s="658" t="s">
        <v>322</v>
      </c>
      <c r="R23" s="1088">
        <f>N25+P23+Q25</f>
        <v>7479.1719239620616</v>
      </c>
      <c r="T23" s="679">
        <f>E24/E21</f>
        <v>2.9126213592233014E-2</v>
      </c>
    </row>
    <row r="24" spans="1:25">
      <c r="A24" s="648" t="s">
        <v>476</v>
      </c>
      <c r="B24" s="659"/>
      <c r="C24" s="660">
        <v>62.14</v>
      </c>
      <c r="D24" s="648"/>
      <c r="E24" s="675">
        <f>'CWU i pow.'!N25-OPTI!E23</f>
        <v>460.17000000000007</v>
      </c>
      <c r="F24" s="652"/>
      <c r="G24" s="653"/>
      <c r="H24" s="654"/>
      <c r="I24" s="655">
        <f>E24*C24*0.0036</f>
        <v>102.94186968000001</v>
      </c>
      <c r="J24" s="655"/>
      <c r="K24" s="655">
        <f>I24</f>
        <v>102.94186968000001</v>
      </c>
      <c r="L24" s="657"/>
      <c r="M24" s="657"/>
      <c r="N24" s="655">
        <f>K24</f>
        <v>102.94186968000001</v>
      </c>
      <c r="O24" s="1087"/>
      <c r="P24" s="1087"/>
      <c r="Q24" s="661">
        <v>0.9</v>
      </c>
      <c r="R24" s="1089"/>
    </row>
    <row r="25" spans="1:25">
      <c r="A25" s="632"/>
      <c r="B25" s="632"/>
      <c r="C25" s="632"/>
      <c r="D25" s="632"/>
      <c r="E25" s="632"/>
      <c r="F25" s="662"/>
      <c r="G25" s="662"/>
      <c r="H25" s="663" t="s">
        <v>220</v>
      </c>
      <c r="I25" s="655">
        <f>SUM(I23:I24)</f>
        <v>5624.2086603703974</v>
      </c>
      <c r="J25" s="655">
        <f>SUM(J23:J24)</f>
        <v>1869.9335999999998</v>
      </c>
      <c r="K25" s="655">
        <f>SUM(K23:K24)*Q21</f>
        <v>6137.1779212851297</v>
      </c>
      <c r="L25" s="657"/>
      <c r="M25" s="657"/>
      <c r="N25" s="655">
        <f>SUM(N23:N24)*Q21</f>
        <v>7024.9402962035529</v>
      </c>
      <c r="O25" s="632"/>
      <c r="P25" s="632"/>
      <c r="Q25" s="664">
        <f>'CWU i pow.'!F15/OPTI!Q24*Q21</f>
        <v>454.23162775850881</v>
      </c>
      <c r="R25" s="632"/>
    </row>
    <row r="26" spans="1:25">
      <c r="A26" s="667"/>
      <c r="B26" s="667"/>
      <c r="C26" s="667"/>
      <c r="D26" s="667"/>
      <c r="E26" s="667"/>
      <c r="F26" s="667"/>
      <c r="G26" s="667"/>
      <c r="H26" s="670"/>
      <c r="I26" s="671"/>
      <c r="J26" s="671"/>
      <c r="K26" s="671"/>
      <c r="L26" s="672"/>
      <c r="M26" s="672"/>
      <c r="N26" s="671"/>
      <c r="O26" s="667"/>
      <c r="P26" s="667"/>
      <c r="Q26" s="673"/>
      <c r="R26" s="667"/>
      <c r="T26" s="681">
        <f>B23*E23*$T$4/E21+E24/E21</f>
        <v>0.39442388429265585</v>
      </c>
    </row>
    <row r="27" spans="1:25" ht="18">
      <c r="A27" s="1083">
        <v>2030</v>
      </c>
      <c r="B27" s="1083"/>
      <c r="C27" s="1083"/>
      <c r="D27" s="1083"/>
      <c r="E27" s="1083"/>
      <c r="F27" s="1083"/>
      <c r="G27" s="1083"/>
      <c r="H27" s="1083"/>
      <c r="I27" s="1083"/>
      <c r="J27" s="1083"/>
      <c r="K27" s="1083"/>
      <c r="L27" s="1083"/>
      <c r="M27" s="1083"/>
      <c r="N27" s="1083"/>
      <c r="O27" s="1083"/>
      <c r="P27" s="1083"/>
      <c r="Q27" s="1083"/>
      <c r="R27" s="1083"/>
    </row>
    <row r="28" spans="1:25">
      <c r="A28" s="626" t="s">
        <v>307</v>
      </c>
      <c r="D28" s="627" t="s">
        <v>301</v>
      </c>
      <c r="E28" s="628" t="s">
        <v>309</v>
      </c>
    </row>
    <row r="29" spans="1:25">
      <c r="A29" s="631"/>
      <c r="B29" s="632"/>
      <c r="C29" s="633"/>
      <c r="D29" s="633"/>
      <c r="E29" s="634">
        <f>E31+E32</f>
        <v>327576.03999999998</v>
      </c>
      <c r="F29" s="635"/>
      <c r="G29" s="635"/>
      <c r="H29" s="635"/>
      <c r="I29" s="635"/>
      <c r="J29" s="635"/>
      <c r="K29" s="635"/>
      <c r="L29" s="636" t="s">
        <v>315</v>
      </c>
      <c r="M29" s="636" t="s">
        <v>303</v>
      </c>
      <c r="N29" s="635"/>
      <c r="O29" s="633"/>
      <c r="P29" s="637">
        <f>P3</f>
        <v>0.9</v>
      </c>
      <c r="Q29" s="677">
        <f>Q3</f>
        <v>0.8</v>
      </c>
      <c r="R29" s="632"/>
    </row>
    <row r="30" spans="1:25" ht="56.25">
      <c r="A30" s="639"/>
      <c r="B30" s="640" t="s">
        <v>408</v>
      </c>
      <c r="C30" s="639" t="s">
        <v>410</v>
      </c>
      <c r="D30" s="641" t="s">
        <v>308</v>
      </c>
      <c r="E30" s="642" t="s">
        <v>209</v>
      </c>
      <c r="F30" s="643" t="s">
        <v>210</v>
      </c>
      <c r="G30" s="643" t="s">
        <v>211</v>
      </c>
      <c r="H30" s="644" t="s">
        <v>212</v>
      </c>
      <c r="I30" s="645" t="s">
        <v>310</v>
      </c>
      <c r="J30" s="645" t="s">
        <v>311</v>
      </c>
      <c r="K30" s="645" t="s">
        <v>312</v>
      </c>
      <c r="L30" s="1084" t="s">
        <v>314</v>
      </c>
      <c r="M30" s="1085"/>
      <c r="N30" s="645" t="s">
        <v>313</v>
      </c>
      <c r="O30" s="646" t="s">
        <v>316</v>
      </c>
      <c r="P30" s="647" t="s">
        <v>321</v>
      </c>
      <c r="Q30" s="647" t="s">
        <v>323</v>
      </c>
      <c r="R30" s="647" t="s">
        <v>324</v>
      </c>
      <c r="T30" s="888">
        <v>1</v>
      </c>
      <c r="U30" s="887" t="s">
        <v>635</v>
      </c>
    </row>
    <row r="31" spans="1:25">
      <c r="A31" s="648" t="s">
        <v>475</v>
      </c>
      <c r="B31" s="649">
        <f>BILANS!G10-BILANS!E10</f>
        <v>0.24980999999999998</v>
      </c>
      <c r="C31" s="660">
        <f>C5</f>
        <v>178.20000000000002</v>
      </c>
      <c r="D31" s="648">
        <v>90</v>
      </c>
      <c r="E31" s="678">
        <f>E5</f>
        <v>270724</v>
      </c>
      <c r="F31" s="652">
        <f>(1-B31)*E31</f>
        <v>203094.43756000002</v>
      </c>
      <c r="G31" s="653">
        <f>B31*E31</f>
        <v>67629.562439999994</v>
      </c>
      <c r="H31" s="654">
        <f>B31*D31+(1-B31)*C31</f>
        <v>156.16675800000002</v>
      </c>
      <c r="I31" s="655">
        <f>F31*C31*0.0036</f>
        <v>130289.14358349121</v>
      </c>
      <c r="J31" s="655">
        <f>G31*D31*0.0036</f>
        <v>21911.978230559998</v>
      </c>
      <c r="K31" s="655">
        <f>I31+J31</f>
        <v>152201.12181405121</v>
      </c>
      <c r="L31" s="656">
        <f>L5</f>
        <v>0.61668550807762579</v>
      </c>
      <c r="M31" s="657">
        <v>0.9</v>
      </c>
      <c r="N31" s="655">
        <f>I31/L31+J31/M31</f>
        <v>235619.87960965259</v>
      </c>
      <c r="O31" s="1086">
        <f>E31/E29*H31+E32/E29*C32</f>
        <v>144.11054380165291</v>
      </c>
      <c r="P31" s="1086">
        <f>P29*'CWU i pow.'!C5/Q29</f>
        <v>12102.860168558027</v>
      </c>
      <c r="Q31" s="658" t="s">
        <v>322</v>
      </c>
      <c r="R31" s="1088">
        <f>N33+P31+Q33</f>
        <v>242035.56787734461</v>
      </c>
      <c r="T31" s="679">
        <f>E32/E29</f>
        <v>0.17355371900826441</v>
      </c>
      <c r="U31" s="679">
        <f>B31/2*E31/E29</f>
        <v>0.10322727272727272</v>
      </c>
    </row>
    <row r="32" spans="1:25">
      <c r="A32" s="648" t="s">
        <v>477</v>
      </c>
      <c r="B32" s="659"/>
      <c r="C32" s="660">
        <v>86.7</v>
      </c>
      <c r="D32" s="648"/>
      <c r="E32" s="675">
        <f>'CWU i pow.'!L26-E31</f>
        <v>56852.039999999979</v>
      </c>
      <c r="F32" s="652"/>
      <c r="G32" s="653"/>
      <c r="H32" s="654"/>
      <c r="I32" s="655">
        <f>E32*C32*0.0036</f>
        <v>17744.658724799992</v>
      </c>
      <c r="J32" s="655"/>
      <c r="K32" s="655">
        <f>I32</f>
        <v>17744.658724799992</v>
      </c>
      <c r="L32" s="657"/>
      <c r="M32" s="657"/>
      <c r="N32" s="655">
        <f>K32</f>
        <v>17744.658724799992</v>
      </c>
      <c r="O32" s="1087"/>
      <c r="P32" s="1087"/>
      <c r="Q32" s="661">
        <f>Q6</f>
        <v>0.7</v>
      </c>
      <c r="R32" s="1089"/>
      <c r="T32" s="680">
        <f>(B31*E31/2+E32/E29)*E29</f>
        <v>11076968977.553968</v>
      </c>
    </row>
    <row r="33" spans="1:20">
      <c r="A33" s="632"/>
      <c r="B33" s="632"/>
      <c r="C33" s="632"/>
      <c r="D33" s="632"/>
      <c r="E33" s="632"/>
      <c r="F33" s="662"/>
      <c r="G33" s="662"/>
      <c r="H33" s="663" t="s">
        <v>220</v>
      </c>
      <c r="I33" s="655">
        <f>SUM(I31:I32)</f>
        <v>148033.8023082912</v>
      </c>
      <c r="J33" s="655">
        <f>SUM(J31:J32)</f>
        <v>21911.978230559998</v>
      </c>
      <c r="K33" s="655">
        <f>SUM(K31:K32)*Q29</f>
        <v>135956.62443108097</v>
      </c>
      <c r="L33" s="657"/>
      <c r="M33" s="657"/>
      <c r="N33" s="655">
        <f>SUM(N31:N32)*Q29</f>
        <v>202691.63066756207</v>
      </c>
      <c r="O33" s="632"/>
      <c r="P33" s="632"/>
      <c r="Q33" s="664">
        <f>'CWU i pow.'!C29/OPTI!Q32*Q29</f>
        <v>27241.077041224533</v>
      </c>
      <c r="R33" s="632"/>
    </row>
    <row r="34" spans="1:20">
      <c r="A34" s="626" t="s">
        <v>325</v>
      </c>
      <c r="D34" s="665"/>
      <c r="H34" s="666"/>
      <c r="I34" s="667"/>
      <c r="J34" s="668"/>
      <c r="K34" s="667"/>
      <c r="L34" s="667"/>
      <c r="M34" s="667"/>
      <c r="N34" s="667"/>
      <c r="O34" s="667"/>
      <c r="T34" s="681">
        <f>B31*E31*$T$30/E29+E32/E29</f>
        <v>0.38000826446280989</v>
      </c>
    </row>
    <row r="35" spans="1:20">
      <c r="A35" s="631"/>
      <c r="B35" s="632"/>
      <c r="C35" s="633"/>
      <c r="D35" s="633"/>
      <c r="E35" s="634">
        <f>'CWU i pow.'!M26</f>
        <v>20172.320000000003</v>
      </c>
      <c r="F35" s="635"/>
      <c r="G35" s="635"/>
      <c r="H35" s="635"/>
      <c r="I35" s="635"/>
      <c r="J35" s="635"/>
      <c r="K35" s="635"/>
      <c r="L35" s="636" t="s">
        <v>315</v>
      </c>
      <c r="M35" s="636" t="s">
        <v>303</v>
      </c>
      <c r="N35" s="635"/>
      <c r="O35" s="633"/>
      <c r="P35" s="637">
        <f>P9</f>
        <v>0.8</v>
      </c>
      <c r="Q35" s="632">
        <f>Q9</f>
        <v>0.74580000000000002</v>
      </c>
      <c r="R35" s="632"/>
    </row>
    <row r="36" spans="1:20" ht="33.75">
      <c r="A36" s="639"/>
      <c r="B36" s="640" t="s">
        <v>408</v>
      </c>
      <c r="C36" s="639" t="s">
        <v>410</v>
      </c>
      <c r="D36" s="641" t="s">
        <v>308</v>
      </c>
      <c r="E36" s="642" t="s">
        <v>209</v>
      </c>
      <c r="F36" s="643" t="s">
        <v>210</v>
      </c>
      <c r="G36" s="643" t="s">
        <v>211</v>
      </c>
      <c r="H36" s="644" t="s">
        <v>212</v>
      </c>
      <c r="I36" s="645" t="s">
        <v>310</v>
      </c>
      <c r="J36" s="645" t="s">
        <v>311</v>
      </c>
      <c r="K36" s="645" t="s">
        <v>312</v>
      </c>
      <c r="L36" s="1084" t="s">
        <v>314</v>
      </c>
      <c r="M36" s="1085"/>
      <c r="N36" s="645" t="s">
        <v>313</v>
      </c>
      <c r="O36" s="646" t="s">
        <v>316</v>
      </c>
      <c r="P36" s="647" t="s">
        <v>321</v>
      </c>
      <c r="Q36" s="647" t="s">
        <v>323</v>
      </c>
      <c r="R36" s="647" t="s">
        <v>324</v>
      </c>
      <c r="T36" s="625">
        <f>BILANS!V15</f>
        <v>9286.3679931847782</v>
      </c>
    </row>
    <row r="37" spans="1:20">
      <c r="A37" s="648" t="s">
        <v>475</v>
      </c>
      <c r="B37" s="649">
        <f>BILANS!G21-BILANS!F21</f>
        <v>0.35694853145300098</v>
      </c>
      <c r="C37" s="660">
        <f>C11</f>
        <v>121.34823163622232</v>
      </c>
      <c r="D37" s="648">
        <v>90</v>
      </c>
      <c r="E37" s="678">
        <f>BILANS!I13</f>
        <v>18011</v>
      </c>
      <c r="F37" s="652">
        <f>(1-B37)*E37</f>
        <v>11582</v>
      </c>
      <c r="G37" s="653">
        <f>B37*E37</f>
        <v>6429.0000000000009</v>
      </c>
      <c r="H37" s="654">
        <f>B37*D37+(1-B37)*C37</f>
        <v>110.15852639002426</v>
      </c>
      <c r="I37" s="655">
        <f>F37*C37*0.0036</f>
        <v>5059.6387877186171</v>
      </c>
      <c r="J37" s="655">
        <f>G37*D37*0.0036</f>
        <v>2082.9960000000005</v>
      </c>
      <c r="K37" s="655">
        <f>I37+J37</f>
        <v>7142.6347877186181</v>
      </c>
      <c r="L37" s="656">
        <f>L11</f>
        <v>0.87778490681720411</v>
      </c>
      <c r="M37" s="657">
        <v>0.98</v>
      </c>
      <c r="N37" s="655">
        <f>I37/L37+J37/M37</f>
        <v>7889.6047625868769</v>
      </c>
      <c r="O37" s="1086">
        <f>E37/E35*H37+E38/E35*C38</f>
        <v>106.9272557053788</v>
      </c>
      <c r="P37" s="1086">
        <f>P35*'CWU i pow.'!D19*Q35</f>
        <v>522.06159891481661</v>
      </c>
      <c r="Q37" s="658" t="s">
        <v>322</v>
      </c>
      <c r="R37" s="1094">
        <f>N39+P37+Q39</f>
        <v>8850.1027021698155</v>
      </c>
      <c r="T37" s="679">
        <f>E38/E35</f>
        <v>0.10714285714285729</v>
      </c>
    </row>
    <row r="38" spans="1:20">
      <c r="A38" s="648" t="s">
        <v>477</v>
      </c>
      <c r="B38" s="659"/>
      <c r="C38" s="682">
        <v>80</v>
      </c>
      <c r="D38" s="648"/>
      <c r="E38" s="675">
        <f>E35-E37</f>
        <v>2161.3200000000033</v>
      </c>
      <c r="F38" s="652"/>
      <c r="G38" s="653"/>
      <c r="H38" s="654"/>
      <c r="I38" s="655">
        <f>E38*C38*0.0036</f>
        <v>622.460160000001</v>
      </c>
      <c r="J38" s="655"/>
      <c r="K38" s="655">
        <f>I38</f>
        <v>622.460160000001</v>
      </c>
      <c r="L38" s="657"/>
      <c r="M38" s="657"/>
      <c r="N38" s="655">
        <f>K38</f>
        <v>622.460160000001</v>
      </c>
      <c r="O38" s="1087"/>
      <c r="P38" s="1087"/>
      <c r="Q38" s="661">
        <f>Q12</f>
        <v>0.98</v>
      </c>
      <c r="R38" s="1095"/>
    </row>
    <row r="39" spans="1:20">
      <c r="A39" s="632"/>
      <c r="B39" s="632"/>
      <c r="C39" s="632"/>
      <c r="D39" s="632"/>
      <c r="E39" s="632"/>
      <c r="F39" s="662"/>
      <c r="G39" s="662"/>
      <c r="H39" s="663" t="s">
        <v>220</v>
      </c>
      <c r="I39" s="655">
        <f>SUM(I37:I38)</f>
        <v>5682.0989477186176</v>
      </c>
      <c r="J39" s="655">
        <f>SUM(J37:J38)</f>
        <v>2082.9960000000005</v>
      </c>
      <c r="K39" s="655">
        <f>SUM(K37:K38)*Q35</f>
        <v>5791.2078120085462</v>
      </c>
      <c r="L39" s="657"/>
      <c r="M39" s="657"/>
      <c r="N39" s="655">
        <f>SUM(N37:N38)*Q35</f>
        <v>6348.298019265294</v>
      </c>
      <c r="O39" s="632"/>
      <c r="P39" s="632"/>
      <c r="Q39" s="664">
        <f>'CWU i pow.'!D29/OPTI!Q38*Q35</f>
        <v>1979.7430839897049</v>
      </c>
      <c r="R39" s="632"/>
    </row>
    <row r="40" spans="1:20">
      <c r="A40" s="626" t="s">
        <v>326</v>
      </c>
      <c r="B40" s="667"/>
      <c r="C40" s="667"/>
      <c r="D40" s="667"/>
      <c r="E40" s="667"/>
      <c r="F40" s="667"/>
      <c r="G40" s="667"/>
      <c r="H40" s="670"/>
      <c r="I40" s="671"/>
      <c r="J40" s="671"/>
      <c r="K40" s="671"/>
      <c r="L40" s="672"/>
      <c r="M40" s="672"/>
      <c r="N40" s="671"/>
      <c r="O40" s="667"/>
      <c r="P40" s="667"/>
      <c r="Q40" s="673"/>
      <c r="R40" s="667"/>
      <c r="T40" s="681">
        <f>B37*E37*$T$30/E35+E38/E35</f>
        <v>0.42584690308303674</v>
      </c>
    </row>
    <row r="41" spans="1:20">
      <c r="A41" s="631"/>
      <c r="B41" s="632"/>
      <c r="C41" s="633"/>
      <c r="D41" s="633"/>
      <c r="E41" s="634">
        <f>E43+E44</f>
        <v>158457.9</v>
      </c>
      <c r="F41" s="635"/>
      <c r="G41" s="635"/>
      <c r="H41" s="635"/>
      <c r="I41" s="635"/>
      <c r="J41" s="635"/>
      <c r="K41" s="635"/>
      <c r="L41" s="636" t="s">
        <v>315</v>
      </c>
      <c r="M41" s="636" t="s">
        <v>303</v>
      </c>
      <c r="N41" s="635"/>
      <c r="O41" s="633"/>
      <c r="P41" s="637">
        <f>P15</f>
        <v>0.8</v>
      </c>
      <c r="Q41" s="677">
        <f>Q15</f>
        <v>0.8</v>
      </c>
      <c r="R41" s="632"/>
    </row>
    <row r="42" spans="1:20" ht="33.75">
      <c r="A42" s="639"/>
      <c r="B42" s="640" t="s">
        <v>408</v>
      </c>
      <c r="C42" s="639" t="s">
        <v>410</v>
      </c>
      <c r="D42" s="641" t="s">
        <v>308</v>
      </c>
      <c r="E42" s="642" t="s">
        <v>209</v>
      </c>
      <c r="F42" s="643" t="s">
        <v>210</v>
      </c>
      <c r="G42" s="643" t="s">
        <v>211</v>
      </c>
      <c r="H42" s="644" t="s">
        <v>212</v>
      </c>
      <c r="I42" s="645" t="s">
        <v>310</v>
      </c>
      <c r="J42" s="645" t="s">
        <v>311</v>
      </c>
      <c r="K42" s="645" t="s">
        <v>312</v>
      </c>
      <c r="L42" s="1084" t="s">
        <v>314</v>
      </c>
      <c r="M42" s="1085"/>
      <c r="N42" s="645" t="s">
        <v>313</v>
      </c>
      <c r="O42" s="646" t="s">
        <v>316</v>
      </c>
      <c r="P42" s="647" t="s">
        <v>321</v>
      </c>
      <c r="Q42" s="647" t="s">
        <v>323</v>
      </c>
      <c r="R42" s="647" t="s">
        <v>324</v>
      </c>
    </row>
    <row r="43" spans="1:20">
      <c r="A43" s="648" t="s">
        <v>475</v>
      </c>
      <c r="B43" s="649">
        <f>BILANS!G32-BILANS!E32</f>
        <v>0.28515000000000007</v>
      </c>
      <c r="C43" s="660">
        <f>C17</f>
        <v>129.36287500000003</v>
      </c>
      <c r="D43" s="648">
        <v>90</v>
      </c>
      <c r="E43" s="678">
        <f>BILANS!I24</f>
        <v>124770</v>
      </c>
      <c r="F43" s="652">
        <f>(1-B43)*E43</f>
        <v>89191.834499999997</v>
      </c>
      <c r="G43" s="653">
        <f>B43*E43</f>
        <v>35578.16550000001</v>
      </c>
      <c r="H43" s="654">
        <f>B43*D43+(1-B43)*C43</f>
        <v>118.13855119375003</v>
      </c>
      <c r="I43" s="655">
        <f>F43*C43*0.0036</f>
        <v>41537.203694799085</v>
      </c>
      <c r="J43" s="655">
        <f>G43*D43*0.0036</f>
        <v>11527.325622000004</v>
      </c>
      <c r="K43" s="655">
        <f>I43+J43</f>
        <v>53064.529316799089</v>
      </c>
      <c r="L43" s="656">
        <f>L17</f>
        <v>0.67163743331471515</v>
      </c>
      <c r="M43" s="657">
        <v>0.9</v>
      </c>
      <c r="N43" s="655">
        <f>I43/L43+J43/M43</f>
        <v>74652.821895876274</v>
      </c>
      <c r="O43" s="1086">
        <f>E43/E41*H43+E44/E41*C44</f>
        <v>110.03035527066932</v>
      </c>
      <c r="P43" s="1086"/>
      <c r="Q43" s="658" t="s">
        <v>322</v>
      </c>
      <c r="R43" s="1086">
        <f>N45+P43+Q45</f>
        <v>68924.429061860064</v>
      </c>
      <c r="T43" s="679">
        <f>E44/E41</f>
        <v>0.21259842519685038</v>
      </c>
    </row>
    <row r="44" spans="1:20">
      <c r="A44" s="648" t="s">
        <v>477</v>
      </c>
      <c r="B44" s="659"/>
      <c r="C44" s="660">
        <v>80</v>
      </c>
      <c r="D44" s="648"/>
      <c r="E44" s="675">
        <f>'CWU i pow.'!O26-E43</f>
        <v>33687.899999999994</v>
      </c>
      <c r="F44" s="652"/>
      <c r="G44" s="653"/>
      <c r="H44" s="654"/>
      <c r="I44" s="655">
        <f>E44*C44*0.0036</f>
        <v>9702.1151999999984</v>
      </c>
      <c r="J44" s="655"/>
      <c r="K44" s="655">
        <f>I44</f>
        <v>9702.1151999999984</v>
      </c>
      <c r="L44" s="657"/>
      <c r="M44" s="657"/>
      <c r="N44" s="655">
        <f>K44</f>
        <v>9702.1151999999984</v>
      </c>
      <c r="O44" s="1087"/>
      <c r="P44" s="1087"/>
      <c r="Q44" s="661">
        <f>Q18</f>
        <v>0.7</v>
      </c>
      <c r="R44" s="1087"/>
    </row>
    <row r="45" spans="1:20">
      <c r="A45" s="632"/>
      <c r="B45" s="632"/>
      <c r="C45" s="632"/>
      <c r="D45" s="632"/>
      <c r="E45" s="632"/>
      <c r="F45" s="662"/>
      <c r="G45" s="662"/>
      <c r="H45" s="663" t="s">
        <v>220</v>
      </c>
      <c r="I45" s="655">
        <f>SUM(I43:I44)</f>
        <v>51239.318894799086</v>
      </c>
      <c r="J45" s="655">
        <f>SUM(J43:J44)</f>
        <v>11527.325622000004</v>
      </c>
      <c r="K45" s="655">
        <f>SUM(K43:K44)*Q41</f>
        <v>50213.315613439278</v>
      </c>
      <c r="L45" s="657"/>
      <c r="M45" s="657"/>
      <c r="N45" s="655">
        <f>SUM(N43:N44)*Q41</f>
        <v>67483.949676701028</v>
      </c>
      <c r="O45" s="632"/>
      <c r="P45" s="632"/>
      <c r="Q45" s="664">
        <f>'CWU i pow.'!E29/Q44*Q41</f>
        <v>1440.4793851590316</v>
      </c>
      <c r="R45" s="632"/>
    </row>
    <row r="46" spans="1:20">
      <c r="A46" s="626" t="s">
        <v>414</v>
      </c>
      <c r="B46" s="667"/>
      <c r="C46" s="667"/>
      <c r="D46" s="667"/>
      <c r="E46" s="667"/>
      <c r="F46" s="667"/>
      <c r="G46" s="667"/>
      <c r="H46" s="670"/>
      <c r="I46" s="671"/>
      <c r="J46" s="671"/>
      <c r="K46" s="671"/>
      <c r="L46" s="672"/>
      <c r="M46" s="672"/>
      <c r="N46" s="671"/>
      <c r="O46" s="667"/>
      <c r="P46" s="667"/>
      <c r="Q46" s="673"/>
      <c r="R46" s="667"/>
      <c r="T46" s="681">
        <f>B43*E43*$T$30/E41+E44/E41</f>
        <v>0.43712598425196858</v>
      </c>
    </row>
    <row r="47" spans="1:20">
      <c r="A47" s="631"/>
      <c r="B47" s="632"/>
      <c r="C47" s="633"/>
      <c r="D47" s="633"/>
      <c r="E47" s="634">
        <f>E49+E50</f>
        <v>16259.34</v>
      </c>
      <c r="F47" s="635"/>
      <c r="G47" s="635"/>
      <c r="H47" s="635"/>
      <c r="I47" s="635"/>
      <c r="J47" s="635"/>
      <c r="K47" s="635"/>
      <c r="L47" s="636" t="s">
        <v>315</v>
      </c>
      <c r="M47" s="636" t="s">
        <v>303</v>
      </c>
      <c r="N47" s="635"/>
      <c r="O47" s="633"/>
      <c r="P47" s="637">
        <f>P21</f>
        <v>0.8</v>
      </c>
      <c r="Q47" s="677">
        <f>Q21</f>
        <v>0.81893000000000005</v>
      </c>
      <c r="R47" s="632"/>
    </row>
    <row r="48" spans="1:20" ht="33.75">
      <c r="A48" s="639"/>
      <c r="B48" s="640" t="s">
        <v>408</v>
      </c>
      <c r="C48" s="639" t="s">
        <v>410</v>
      </c>
      <c r="D48" s="641" t="s">
        <v>308</v>
      </c>
      <c r="E48" s="642" t="s">
        <v>209</v>
      </c>
      <c r="F48" s="643" t="s">
        <v>210</v>
      </c>
      <c r="G48" s="643" t="s">
        <v>211</v>
      </c>
      <c r="H48" s="644" t="s">
        <v>212</v>
      </c>
      <c r="I48" s="645" t="s">
        <v>310</v>
      </c>
      <c r="J48" s="645" t="s">
        <v>311</v>
      </c>
      <c r="K48" s="645" t="s">
        <v>312</v>
      </c>
      <c r="L48" s="1084" t="s">
        <v>314</v>
      </c>
      <c r="M48" s="1085"/>
      <c r="N48" s="645" t="s">
        <v>313</v>
      </c>
      <c r="O48" s="646" t="s">
        <v>316</v>
      </c>
      <c r="P48" s="647" t="s">
        <v>321</v>
      </c>
      <c r="Q48" s="647" t="s">
        <v>323</v>
      </c>
      <c r="R48" s="647" t="s">
        <v>324</v>
      </c>
    </row>
    <row r="49" spans="1:28">
      <c r="A49" s="648" t="s">
        <v>475</v>
      </c>
      <c r="B49" s="649">
        <f>BILANS!G42-BILANS!E42</f>
        <v>0.8661581589412608</v>
      </c>
      <c r="C49" s="660">
        <f>C23</f>
        <v>160.29988917139318</v>
      </c>
      <c r="D49" s="648">
        <v>90</v>
      </c>
      <c r="E49" s="678">
        <f>BILANS!I34</f>
        <v>15339</v>
      </c>
      <c r="F49" s="652">
        <f>(1-B49)*E49</f>
        <v>2053.0000000000005</v>
      </c>
      <c r="G49" s="653">
        <f>B49*E49</f>
        <v>13286</v>
      </c>
      <c r="H49" s="654">
        <f>B49*D49+(1-B49)*C49</f>
        <v>99.409066592924574</v>
      </c>
      <c r="I49" s="655">
        <f>F49*C49*0.0036</f>
        <v>1184.7444208879328</v>
      </c>
      <c r="J49" s="655">
        <f>G49*D49*0.0036</f>
        <v>4304.6639999999998</v>
      </c>
      <c r="K49" s="655">
        <f>I49+J49</f>
        <v>5489.4084208879322</v>
      </c>
      <c r="L49" s="656">
        <f>L23</f>
        <v>0.86302858543540462</v>
      </c>
      <c r="M49" s="657">
        <v>0.9</v>
      </c>
      <c r="N49" s="655">
        <f>I49/L49+J49/M49</f>
        <v>6155.7354107822748</v>
      </c>
      <c r="O49" s="1086">
        <f>E49/E47*H49+E50/E47*C50</f>
        <v>96.725534521626955</v>
      </c>
      <c r="P49" s="1086"/>
      <c r="Q49" s="658" t="s">
        <v>322</v>
      </c>
      <c r="R49" s="1086">
        <f>N51+P49+Q51</f>
        <v>5636.4395512870778</v>
      </c>
      <c r="T49" s="679">
        <f>E50/E47</f>
        <v>5.6603773584905669E-2</v>
      </c>
    </row>
    <row r="50" spans="1:28">
      <c r="A50" s="648" t="s">
        <v>477</v>
      </c>
      <c r="B50" s="659"/>
      <c r="C50" s="660">
        <v>52</v>
      </c>
      <c r="D50" s="648"/>
      <c r="E50" s="675">
        <f>'CWU i pow.'!N26-ZANIECH!E49</f>
        <v>920.34000000000015</v>
      </c>
      <c r="F50" s="652"/>
      <c r="G50" s="653"/>
      <c r="H50" s="654"/>
      <c r="I50" s="655">
        <f>E50*C50*0.0036</f>
        <v>172.28764800000002</v>
      </c>
      <c r="J50" s="655"/>
      <c r="K50" s="655">
        <f>I50</f>
        <v>172.28764800000002</v>
      </c>
      <c r="L50" s="657"/>
      <c r="M50" s="657"/>
      <c r="N50" s="655">
        <f>K50</f>
        <v>172.28764800000002</v>
      </c>
      <c r="O50" s="1087"/>
      <c r="P50" s="1087"/>
      <c r="Q50" s="661">
        <f>Q24</f>
        <v>0.9</v>
      </c>
      <c r="R50" s="1087"/>
    </row>
    <row r="51" spans="1:28">
      <c r="A51" s="632"/>
      <c r="B51" s="632"/>
      <c r="C51" s="632"/>
      <c r="D51" s="632"/>
      <c r="E51" s="632"/>
      <c r="F51" s="662"/>
      <c r="G51" s="662"/>
      <c r="H51" s="663" t="s">
        <v>220</v>
      </c>
      <c r="I51" s="655">
        <f>SUM(I49:I50)</f>
        <v>1357.0320688879328</v>
      </c>
      <c r="J51" s="655">
        <f>SUM(J49:J50)</f>
        <v>4304.6639999999998</v>
      </c>
      <c r="K51" s="655">
        <f>SUM(K49:K50)*Q47</f>
        <v>4636.532761694395</v>
      </c>
      <c r="L51" s="657"/>
      <c r="M51" s="657"/>
      <c r="N51" s="655">
        <f>SUM(N49:N50)*Q47</f>
        <v>5182.2079235285692</v>
      </c>
      <c r="O51" s="632"/>
      <c r="P51" s="632"/>
      <c r="Q51" s="664">
        <f>'CWU i pow.'!F29/OPTI!Q50*OPTI!Q47</f>
        <v>454.23162775850881</v>
      </c>
      <c r="R51" s="632"/>
      <c r="U51" s="877" t="s">
        <v>627</v>
      </c>
    </row>
    <row r="52" spans="1:28" ht="18">
      <c r="A52" s="1092" t="s">
        <v>425</v>
      </c>
      <c r="B52" s="1092"/>
      <c r="C52" s="1092"/>
      <c r="D52" s="1092"/>
      <c r="E52" s="1092"/>
      <c r="F52" s="1092"/>
      <c r="G52" s="1092"/>
      <c r="H52" s="1092"/>
      <c r="I52" s="1092"/>
      <c r="J52" s="1092"/>
      <c r="K52" s="1092"/>
      <c r="L52" s="1092"/>
      <c r="M52" s="1092"/>
      <c r="N52" s="1092"/>
      <c r="O52" s="1092"/>
      <c r="P52" s="1092"/>
      <c r="Q52" s="1092"/>
      <c r="R52" s="1092"/>
      <c r="T52" s="681">
        <f>B49*E49*$T$30/E47+E50/E47</f>
        <v>0.87373411220873665</v>
      </c>
      <c r="U52" s="876">
        <f>B49*E49/E47</f>
        <v>0.817130338623831</v>
      </c>
    </row>
    <row r="53" spans="1:28">
      <c r="A53" s="684" t="s">
        <v>50</v>
      </c>
      <c r="B53" s="667"/>
      <c r="C53" s="685"/>
      <c r="D53" s="685"/>
      <c r="E53" s="686"/>
      <c r="F53" s="685"/>
      <c r="G53" s="685"/>
      <c r="H53" s="670"/>
      <c r="I53" s="671"/>
      <c r="J53" s="671"/>
      <c r="K53" s="671"/>
      <c r="L53" s="672"/>
      <c r="M53" s="672"/>
      <c r="N53" s="671"/>
      <c r="O53" s="667"/>
      <c r="P53" s="667"/>
      <c r="Q53" s="667"/>
      <c r="R53" s="667"/>
    </row>
    <row r="54" spans="1:28">
      <c r="A54" s="711" t="s">
        <v>494</v>
      </c>
      <c r="B54" s="711">
        <v>2014</v>
      </c>
      <c r="C54" s="711">
        <v>2020</v>
      </c>
      <c r="D54" s="711"/>
      <c r="E54" s="711">
        <v>2030</v>
      </c>
      <c r="F54" s="711"/>
    </row>
    <row r="55" spans="1:28" ht="13.5" thickBot="1">
      <c r="A55" s="711">
        <v>1</v>
      </c>
      <c r="B55" s="711">
        <v>2</v>
      </c>
      <c r="C55" s="711">
        <v>3</v>
      </c>
      <c r="D55" s="711" t="s">
        <v>492</v>
      </c>
      <c r="E55" s="712">
        <v>5</v>
      </c>
      <c r="F55" s="711" t="s">
        <v>493</v>
      </c>
      <c r="H55" s="685"/>
      <c r="P55" s="687"/>
      <c r="Q55" s="667"/>
      <c r="R55" s="667"/>
      <c r="S55" s="667"/>
    </row>
    <row r="56" spans="1:28">
      <c r="A56" s="713" t="s">
        <v>499</v>
      </c>
      <c r="B56" s="714">
        <f>BILANS!O10</f>
        <v>138939.88838399999</v>
      </c>
      <c r="C56" s="714">
        <f>K7</f>
        <v>139654.86879188736</v>
      </c>
      <c r="D56" s="715">
        <f>-(B56-C56)/B56</f>
        <v>5.1459693555483436E-3</v>
      </c>
      <c r="E56" s="714">
        <f>K33</f>
        <v>135956.62443108097</v>
      </c>
      <c r="F56" s="715">
        <f>-(B56-E56)/B56</f>
        <v>-2.1471616161616018E-2</v>
      </c>
      <c r="H56" s="688"/>
      <c r="K56" s="699" t="s">
        <v>484</v>
      </c>
      <c r="L56" s="700">
        <v>2017</v>
      </c>
      <c r="M56" s="700">
        <v>2022</v>
      </c>
      <c r="N56" s="700" t="s">
        <v>485</v>
      </c>
      <c r="O56" s="700">
        <v>2033</v>
      </c>
      <c r="P56" s="701" t="s">
        <v>485</v>
      </c>
      <c r="Q56" s="689"/>
      <c r="R56" s="689"/>
      <c r="S56" s="667"/>
    </row>
    <row r="57" spans="1:28" ht="24">
      <c r="A57" s="713" t="s">
        <v>500</v>
      </c>
      <c r="B57" s="714">
        <f>BILANS!V4</f>
        <v>259454.04284935602</v>
      </c>
      <c r="C57" s="714">
        <f>R5</f>
        <v>254918.07883772551</v>
      </c>
      <c r="D57" s="715">
        <f t="shared" ref="D57:D59" si="0">-(B57-C57)/B57</f>
        <v>-1.7482726273277523E-2</v>
      </c>
      <c r="E57" s="714">
        <f>R31</f>
        <v>242035.56787734461</v>
      </c>
      <c r="F57" s="715">
        <f t="shared" ref="F57:F59" si="1">-(B57-E57)/B57</f>
        <v>-6.7135107168574376E-2</v>
      </c>
      <c r="G57" s="691" t="s">
        <v>452</v>
      </c>
      <c r="H57" s="666"/>
      <c r="K57" s="718" t="s">
        <v>486</v>
      </c>
      <c r="L57" s="703">
        <f>B57</f>
        <v>259454.04284935602</v>
      </c>
      <c r="M57" s="703">
        <f>C57</f>
        <v>254918.07883772551</v>
      </c>
      <c r="N57" s="702">
        <f>-(L57-M57)/L57</f>
        <v>-1.7482726273277523E-2</v>
      </c>
      <c r="O57" s="703">
        <f>E57</f>
        <v>242035.56787734461</v>
      </c>
      <c r="P57" s="702">
        <f>-(L57-O57)/L57</f>
        <v>-6.7135107168574376E-2</v>
      </c>
      <c r="Q57" s="690"/>
      <c r="R57" s="683"/>
      <c r="S57" s="667"/>
    </row>
    <row r="58" spans="1:28" ht="36">
      <c r="A58" s="713" t="s">
        <v>502</v>
      </c>
      <c r="B58" s="716">
        <f>BILANS!$S$4</f>
        <v>178.20000000000002</v>
      </c>
      <c r="C58" s="716">
        <f>O5</f>
        <v>168.97831296147049</v>
      </c>
      <c r="D58" s="715">
        <f t="shared" si="0"/>
        <v>-5.1749085513633684E-2</v>
      </c>
      <c r="E58" s="716">
        <f>O31</f>
        <v>144.11054380165291</v>
      </c>
      <c r="F58" s="715">
        <f t="shared" si="1"/>
        <v>-0.19129885633191418</v>
      </c>
      <c r="G58" s="666">
        <f>1500000/210</f>
        <v>7142.8571428571431</v>
      </c>
      <c r="H58" s="691"/>
      <c r="I58" s="692"/>
      <c r="J58" s="665"/>
      <c r="K58" s="718" t="s">
        <v>487</v>
      </c>
      <c r="L58" s="703">
        <f>B64</f>
        <v>9286.3679931847782</v>
      </c>
      <c r="M58" s="703">
        <f>C64</f>
        <v>8581.3313423399486</v>
      </c>
      <c r="N58" s="702">
        <f>-(L58-M58)/L58</f>
        <v>-7.5921679106648876E-2</v>
      </c>
      <c r="O58" s="703">
        <f>E64</f>
        <v>8850.1027021698155</v>
      </c>
      <c r="P58" s="702">
        <f>-(L58-O58)/L58</f>
        <v>-4.6979108660687982E-2</v>
      </c>
      <c r="Q58" s="693"/>
      <c r="R58" s="683">
        <f>2018</f>
        <v>2018</v>
      </c>
      <c r="S58" s="667"/>
    </row>
    <row r="59" spans="1:28" ht="36">
      <c r="A59" s="713" t="s">
        <v>501</v>
      </c>
      <c r="B59" s="717">
        <f>B57/$G$58</f>
        <v>36.323565998909842</v>
      </c>
      <c r="C59" s="717">
        <f>C57/$G$58</f>
        <v>35.688531037281571</v>
      </c>
      <c r="D59" s="715">
        <f t="shared" si="0"/>
        <v>-1.7482726273277526E-2</v>
      </c>
      <c r="E59" s="717">
        <f>E57/$G$58</f>
        <v>33.884979502828244</v>
      </c>
      <c r="F59" s="715">
        <f t="shared" si="1"/>
        <v>-6.7135107168574418E-2</v>
      </c>
      <c r="K59" s="718" t="s">
        <v>488</v>
      </c>
      <c r="L59" s="703">
        <f>B80</f>
        <v>8754.095789476678</v>
      </c>
      <c r="M59" s="703">
        <f>C80</f>
        <v>7479.1719239620616</v>
      </c>
      <c r="N59" s="702">
        <f t="shared" ref="N59:N61" si="2">-(L59-M59)/L59</f>
        <v>-0.1456374131806058</v>
      </c>
      <c r="O59" s="703">
        <f>E80</f>
        <v>5636.4395512870778</v>
      </c>
      <c r="P59" s="702">
        <f t="shared" ref="P59:P61" si="3">-(L59-O59)/L59</f>
        <v>-0.35613686589280219</v>
      </c>
      <c r="Q59" s="673"/>
      <c r="R59" s="683">
        <f>R58+15</f>
        <v>2033</v>
      </c>
      <c r="S59" s="667"/>
    </row>
    <row r="60" spans="1:28" ht="36">
      <c r="A60" s="684" t="s">
        <v>29</v>
      </c>
      <c r="B60" s="685"/>
      <c r="C60" s="685"/>
      <c r="D60" s="690"/>
      <c r="E60" s="690"/>
      <c r="F60" s="685"/>
      <c r="G60" s="667"/>
      <c r="K60" s="718" t="s">
        <v>489</v>
      </c>
      <c r="L60" s="703">
        <f>B72</f>
        <v>70210.880460539745</v>
      </c>
      <c r="M60" s="703">
        <f>C72</f>
        <v>70044.980518427634</v>
      </c>
      <c r="N60" s="702">
        <f t="shared" si="2"/>
        <v>-2.3628808102663158E-3</v>
      </c>
      <c r="O60" s="703">
        <f>E72</f>
        <v>68924.429061860064</v>
      </c>
      <c r="P60" s="702">
        <f t="shared" si="3"/>
        <v>-1.8322678625326435E-2</v>
      </c>
      <c r="Q60" s="673"/>
      <c r="R60" s="683"/>
      <c r="S60" s="670"/>
      <c r="X60" s="667"/>
      <c r="Y60" s="667"/>
      <c r="Z60" s="667"/>
      <c r="AA60" s="667"/>
      <c r="AB60" s="667"/>
    </row>
    <row r="61" spans="1:28" ht="15">
      <c r="A61" s="711"/>
      <c r="B61" s="711">
        <v>2014</v>
      </c>
      <c r="C61" s="711">
        <v>2020</v>
      </c>
      <c r="D61" s="711"/>
      <c r="E61" s="711">
        <v>2030</v>
      </c>
      <c r="F61" s="711"/>
      <c r="G61" s="667"/>
      <c r="H61" s="666"/>
      <c r="K61" s="718" t="s">
        <v>405</v>
      </c>
      <c r="L61" s="703">
        <f>SUM(L57:L60)</f>
        <v>347705.38709255727</v>
      </c>
      <c r="M61" s="703">
        <f>SUM(M57:M60)</f>
        <v>341023.56262245512</v>
      </c>
      <c r="N61" s="702">
        <f t="shared" si="2"/>
        <v>-1.921691385334643E-2</v>
      </c>
      <c r="O61" s="703">
        <f>SUM(O57:O60)</f>
        <v>325446.53919266158</v>
      </c>
      <c r="P61" s="702">
        <f t="shared" si="3"/>
        <v>-6.401640217892425E-2</v>
      </c>
      <c r="Q61" s="673"/>
      <c r="R61" s="683"/>
      <c r="S61" s="670"/>
      <c r="T61" s="694"/>
      <c r="U61" s="694"/>
      <c r="V61" s="694"/>
      <c r="W61" s="694"/>
      <c r="X61" s="695"/>
      <c r="Y61" s="670"/>
      <c r="Z61" s="667"/>
      <c r="AA61" s="667"/>
      <c r="AB61" s="667"/>
    </row>
    <row r="62" spans="1:28">
      <c r="A62" s="711">
        <v>1</v>
      </c>
      <c r="B62" s="711">
        <v>3</v>
      </c>
      <c r="C62" s="711">
        <v>4</v>
      </c>
      <c r="D62" s="711" t="s">
        <v>421</v>
      </c>
      <c r="E62" s="712">
        <v>6</v>
      </c>
      <c r="F62" s="711" t="s">
        <v>422</v>
      </c>
      <c r="G62" s="667"/>
      <c r="H62" s="670"/>
      <c r="I62" s="671"/>
      <c r="J62" s="671"/>
      <c r="K62" s="671"/>
      <c r="L62" s="672"/>
      <c r="M62" s="672"/>
      <c r="N62" s="671"/>
      <c r="O62" s="667"/>
      <c r="P62" s="667"/>
      <c r="Q62" s="667"/>
      <c r="R62" s="667"/>
      <c r="S62" s="670"/>
      <c r="T62" s="696"/>
      <c r="U62" s="696"/>
      <c r="V62" s="697"/>
      <c r="W62" s="694"/>
      <c r="X62" s="695"/>
      <c r="Y62" s="670"/>
      <c r="Z62" s="667"/>
      <c r="AA62" s="667"/>
      <c r="AB62" s="667"/>
    </row>
    <row r="63" spans="1:28">
      <c r="A63" s="713" t="s">
        <v>499</v>
      </c>
      <c r="B63" s="714">
        <f>BILANS!O21</f>
        <v>5868.0817826399998</v>
      </c>
      <c r="C63" s="714">
        <f>K13</f>
        <v>5494.5099818389017</v>
      </c>
      <c r="D63" s="715">
        <f>-(B63-C63)/B63</f>
        <v>-6.3661655484465882E-2</v>
      </c>
      <c r="E63" s="714">
        <f>K39</f>
        <v>5791.2078120085462</v>
      </c>
      <c r="F63" s="715">
        <f>-(B63-E63)/B63</f>
        <v>-1.3100357745332698E-2</v>
      </c>
      <c r="G63" s="667"/>
      <c r="H63" s="667"/>
      <c r="I63" s="667"/>
      <c r="J63" s="667"/>
      <c r="K63" s="667"/>
      <c r="L63" s="667"/>
      <c r="M63" s="667"/>
      <c r="N63" s="667"/>
      <c r="O63" s="667"/>
      <c r="P63" s="667"/>
      <c r="Q63" s="667"/>
      <c r="R63" s="667"/>
      <c r="S63" s="670"/>
      <c r="T63" s="694"/>
      <c r="U63" s="694"/>
      <c r="V63" s="698"/>
      <c r="W63" s="694"/>
      <c r="X63" s="695"/>
      <c r="Y63" s="667"/>
      <c r="Z63" s="667"/>
      <c r="AA63" s="667"/>
      <c r="AB63" s="667"/>
    </row>
    <row r="64" spans="1:28">
      <c r="A64" s="713" t="s">
        <v>500</v>
      </c>
      <c r="B64" s="714">
        <f>BILANS!V15</f>
        <v>9286.3679931847782</v>
      </c>
      <c r="C64" s="714">
        <f>R11</f>
        <v>8581.3313423399486</v>
      </c>
      <c r="D64" s="715">
        <f t="shared" ref="D64:D66" si="4">-(B64-C64)/B64</f>
        <v>-7.5921679106648876E-2</v>
      </c>
      <c r="E64" s="714">
        <f>R37</f>
        <v>8850.1027021698155</v>
      </c>
      <c r="F64" s="715">
        <f t="shared" ref="F64:F66" si="5">-(B64-E64)/B64</f>
        <v>-4.6979108660687982E-2</v>
      </c>
      <c r="G64" s="667"/>
      <c r="H64" s="667"/>
      <c r="I64" s="667"/>
      <c r="J64" s="667"/>
      <c r="K64" s="667"/>
      <c r="L64" s="667"/>
      <c r="M64" s="667"/>
      <c r="N64" s="667"/>
      <c r="O64" s="667"/>
      <c r="P64" s="667"/>
      <c r="Q64" s="667"/>
      <c r="R64" s="667"/>
      <c r="S64" s="670"/>
      <c r="T64" s="1093"/>
      <c r="U64" s="1093"/>
      <c r="V64" s="694"/>
      <c r="W64" s="694"/>
      <c r="X64" s="695"/>
      <c r="Y64" s="667"/>
      <c r="Z64" s="667"/>
      <c r="AA64" s="667"/>
      <c r="AB64" s="667"/>
    </row>
    <row r="65" spans="1:28">
      <c r="A65" s="713" t="s">
        <v>502</v>
      </c>
      <c r="B65" s="716">
        <f>BILANS!S15</f>
        <v>121.34823163622232</v>
      </c>
      <c r="C65" s="716">
        <f>O11</f>
        <v>110.85170958063217</v>
      </c>
      <c r="D65" s="715">
        <f t="shared" si="4"/>
        <v>-8.649917608240569E-2</v>
      </c>
      <c r="E65" s="716">
        <f>O37</f>
        <v>106.9272557053788</v>
      </c>
      <c r="F65" s="715">
        <f t="shared" si="5"/>
        <v>-0.11883960512976177</v>
      </c>
      <c r="H65" s="667"/>
      <c r="I65" s="667"/>
      <c r="J65" s="667"/>
      <c r="K65" s="667"/>
      <c r="L65" s="667"/>
      <c r="M65" s="667"/>
      <c r="N65" s="667"/>
      <c r="O65" s="667"/>
      <c r="P65" s="667"/>
      <c r="Q65" s="667"/>
      <c r="R65" s="667"/>
      <c r="X65" s="667"/>
      <c r="Y65" s="667"/>
      <c r="Z65" s="667"/>
      <c r="AA65" s="667"/>
      <c r="AB65" s="667"/>
    </row>
    <row r="66" spans="1:28">
      <c r="A66" s="713" t="s">
        <v>501</v>
      </c>
      <c r="B66" s="717">
        <f>B64/$G$58</f>
        <v>1.3000915190458688</v>
      </c>
      <c r="C66" s="717">
        <f>C64/$G$58</f>
        <v>1.2013863879275928</v>
      </c>
      <c r="D66" s="715">
        <f t="shared" si="4"/>
        <v>-7.5921679106648807E-2</v>
      </c>
      <c r="E66" s="717">
        <f>E64/$G$58</f>
        <v>1.2390143783037741</v>
      </c>
      <c r="F66" s="715">
        <f t="shared" si="5"/>
        <v>-4.697910866068792E-2</v>
      </c>
      <c r="H66" s="667"/>
      <c r="I66" s="692"/>
      <c r="J66" s="667"/>
      <c r="K66" s="667"/>
      <c r="L66" s="667"/>
      <c r="M66" s="667"/>
      <c r="N66" s="667"/>
      <c r="O66" s="667"/>
      <c r="P66" s="667"/>
      <c r="Q66" s="667"/>
      <c r="R66" s="667"/>
    </row>
    <row r="67" spans="1:28">
      <c r="A67" s="667"/>
      <c r="B67" s="667"/>
      <c r="C67" s="667"/>
      <c r="D67" s="667"/>
      <c r="E67" s="667"/>
      <c r="F67" s="667"/>
      <c r="H67" s="667"/>
      <c r="I67" s="667"/>
      <c r="J67" s="667"/>
      <c r="K67" s="667"/>
      <c r="L67" s="667"/>
      <c r="M67" s="667"/>
      <c r="N67" s="667"/>
      <c r="O67" s="667"/>
      <c r="P67" s="667"/>
      <c r="Q67" s="667"/>
      <c r="R67" s="667"/>
    </row>
    <row r="68" spans="1:28">
      <c r="A68" s="684" t="s">
        <v>412</v>
      </c>
      <c r="B68" s="685"/>
      <c r="C68" s="685"/>
      <c r="D68" s="690"/>
      <c r="E68" s="690"/>
      <c r="F68" s="685"/>
      <c r="G68" s="667"/>
      <c r="H68" s="667"/>
      <c r="I68" s="667"/>
      <c r="J68" s="667"/>
      <c r="K68" s="667"/>
      <c r="L68" s="667"/>
      <c r="M68" s="667"/>
      <c r="N68" s="667"/>
      <c r="O68" s="667"/>
      <c r="P68" s="667"/>
      <c r="Q68" s="667"/>
      <c r="R68" s="667"/>
    </row>
    <row r="69" spans="1:28">
      <c r="A69" s="711"/>
      <c r="B69" s="711">
        <v>2014</v>
      </c>
      <c r="C69" s="711">
        <v>2020</v>
      </c>
      <c r="D69" s="711"/>
      <c r="E69" s="711">
        <v>2030</v>
      </c>
      <c r="F69" s="711"/>
      <c r="G69" s="685"/>
      <c r="H69" s="667"/>
      <c r="I69" s="667"/>
      <c r="J69" s="667"/>
      <c r="K69" s="667"/>
      <c r="L69" s="667"/>
      <c r="M69" s="667"/>
      <c r="N69" s="667"/>
      <c r="O69" s="667"/>
      <c r="P69" s="667"/>
      <c r="Q69" s="667"/>
      <c r="R69" s="667"/>
    </row>
    <row r="70" spans="1:28">
      <c r="A70" s="711">
        <v>1</v>
      </c>
      <c r="B70" s="711">
        <v>3</v>
      </c>
      <c r="C70" s="711">
        <v>4</v>
      </c>
      <c r="D70" s="711" t="s">
        <v>421</v>
      </c>
      <c r="E70" s="712">
        <v>6</v>
      </c>
      <c r="F70" s="711" t="s">
        <v>422</v>
      </c>
      <c r="G70" s="685"/>
      <c r="H70" s="667"/>
      <c r="I70" s="667"/>
      <c r="P70" s="667"/>
      <c r="Q70" s="667"/>
      <c r="R70" s="667"/>
    </row>
    <row r="71" spans="1:28">
      <c r="A71" s="713" t="s">
        <v>499</v>
      </c>
      <c r="B71" s="714">
        <f>BILANS!O32</f>
        <v>46484.945031600015</v>
      </c>
      <c r="C71" s="714">
        <f>K19</f>
        <v>47727.735225546436</v>
      </c>
      <c r="D71" s="715">
        <f>-(B71-C71)/B71</f>
        <v>2.6735326740767021E-2</v>
      </c>
      <c r="E71" s="714">
        <f>K45</f>
        <v>50213.315613439278</v>
      </c>
      <c r="F71" s="715">
        <f>-(B71-E71)/B71</f>
        <v>8.0205980222301063E-2</v>
      </c>
      <c r="G71" s="685"/>
      <c r="H71" s="667"/>
      <c r="I71" s="667"/>
      <c r="P71" s="667"/>
      <c r="Q71" s="667"/>
      <c r="R71" s="667"/>
    </row>
    <row r="72" spans="1:28">
      <c r="A72" s="713" t="s">
        <v>500</v>
      </c>
      <c r="B72" s="714">
        <f>BILANS!V26</f>
        <v>70210.880460539745</v>
      </c>
      <c r="C72" s="714">
        <f>R17</f>
        <v>70044.980518427634</v>
      </c>
      <c r="D72" s="715">
        <f t="shared" ref="D72:D74" si="6">-(B72-C72)/B72</f>
        <v>-2.3628808102663158E-3</v>
      </c>
      <c r="E72" s="714">
        <f>R43</f>
        <v>68924.429061860064</v>
      </c>
      <c r="F72" s="715">
        <f t="shared" ref="F72:F74" si="7">-(B72-E72)/B72</f>
        <v>-1.8322678625326435E-2</v>
      </c>
      <c r="H72" s="667"/>
      <c r="I72" s="667"/>
      <c r="P72" s="667"/>
      <c r="Q72" s="667"/>
      <c r="R72" s="667"/>
    </row>
    <row r="73" spans="1:28">
      <c r="A73" s="713" t="s">
        <v>502</v>
      </c>
      <c r="B73" s="716">
        <f>BILANS!S26</f>
        <v>129.36287500000003</v>
      </c>
      <c r="C73" s="716">
        <f>O17</f>
        <v>122.98280901041669</v>
      </c>
      <c r="D73" s="715">
        <f t="shared" si="6"/>
        <v>-4.9319141906697277E-2</v>
      </c>
      <c r="E73" s="716">
        <f>O43</f>
        <v>110.03035527066932</v>
      </c>
      <c r="F73" s="715">
        <f t="shared" si="7"/>
        <v>-0.1494441100611803</v>
      </c>
      <c r="H73" s="667"/>
      <c r="I73" s="667"/>
      <c r="P73" s="667"/>
      <c r="Q73" s="667"/>
      <c r="R73" s="667"/>
    </row>
    <row r="74" spans="1:28">
      <c r="A74" s="713" t="s">
        <v>501</v>
      </c>
      <c r="B74" s="717">
        <f>B72/$G$58</f>
        <v>9.8295232644755632</v>
      </c>
      <c r="C74" s="717">
        <f>C72/$G$58</f>
        <v>9.8062972725798687</v>
      </c>
      <c r="D74" s="715">
        <f t="shared" si="6"/>
        <v>-2.3628808102662039E-3</v>
      </c>
      <c r="E74" s="717">
        <f>E72/$G$58</f>
        <v>9.6494200686604081</v>
      </c>
      <c r="F74" s="715">
        <f t="shared" si="7"/>
        <v>-1.8322678625326414E-2</v>
      </c>
      <c r="H74" s="667"/>
      <c r="I74" s="692"/>
      <c r="P74" s="667"/>
      <c r="Q74" s="667"/>
      <c r="R74" s="667"/>
    </row>
    <row r="75" spans="1:28">
      <c r="E75" s="667"/>
      <c r="F75" s="667"/>
      <c r="H75" s="667"/>
      <c r="I75" s="667"/>
      <c r="P75" s="667"/>
      <c r="Q75" s="667"/>
      <c r="R75" s="667"/>
    </row>
    <row r="76" spans="1:28" ht="15.75">
      <c r="A76" s="684" t="s">
        <v>426</v>
      </c>
      <c r="B76" s="685"/>
      <c r="C76" s="685"/>
      <c r="D76" s="690"/>
      <c r="E76" s="690"/>
      <c r="F76" s="685"/>
      <c r="G76" s="667"/>
      <c r="H76" s="667"/>
      <c r="I76" s="667"/>
      <c r="J76" s="667"/>
      <c r="N76" s="667"/>
      <c r="O76" s="704"/>
      <c r="P76" s="667"/>
      <c r="Q76" s="667"/>
      <c r="R76" s="667"/>
    </row>
    <row r="77" spans="1:28" ht="15.75">
      <c r="A77" s="711"/>
      <c r="B77" s="711">
        <v>2013</v>
      </c>
      <c r="C77" s="711">
        <v>2020</v>
      </c>
      <c r="D77" s="711"/>
      <c r="E77" s="711">
        <v>2030</v>
      </c>
      <c r="F77" s="711"/>
      <c r="G77" s="685"/>
      <c r="H77" s="667"/>
      <c r="I77" s="667"/>
      <c r="J77" s="667"/>
      <c r="N77" s="667"/>
      <c r="O77" s="704"/>
      <c r="P77" s="667"/>
      <c r="Q77" s="667"/>
      <c r="R77" s="667"/>
    </row>
    <row r="78" spans="1:28" ht="15.75">
      <c r="A78" s="711">
        <v>1</v>
      </c>
      <c r="B78" s="711">
        <v>3</v>
      </c>
      <c r="C78" s="711">
        <v>4</v>
      </c>
      <c r="D78" s="711" t="s">
        <v>421</v>
      </c>
      <c r="E78" s="712">
        <v>6</v>
      </c>
      <c r="F78" s="711" t="s">
        <v>422</v>
      </c>
      <c r="H78" s="667"/>
      <c r="I78" s="667"/>
      <c r="J78" s="667"/>
      <c r="N78" s="667"/>
      <c r="O78" s="704"/>
      <c r="P78" s="667"/>
      <c r="Q78" s="667"/>
      <c r="R78" s="667"/>
    </row>
    <row r="79" spans="1:28">
      <c r="A79" s="713" t="s">
        <v>499</v>
      </c>
      <c r="B79" s="714">
        <f>BILANS!O42</f>
        <v>7249.0242283200005</v>
      </c>
      <c r="C79" s="714">
        <f>K25</f>
        <v>6137.1779212851297</v>
      </c>
      <c r="D79" s="715">
        <f>-(B79-C79)/B79</f>
        <v>-0.15337875443858834</v>
      </c>
      <c r="E79" s="714">
        <f>K51</f>
        <v>4636.532761694395</v>
      </c>
      <c r="F79" s="715">
        <f>-(B79-E79)/B79</f>
        <v>-0.36039215545994446</v>
      </c>
      <c r="H79" s="667"/>
      <c r="I79" s="667"/>
      <c r="J79" s="667"/>
      <c r="N79" s="667"/>
      <c r="O79" s="667"/>
      <c r="P79" s="667"/>
      <c r="Q79" s="667"/>
      <c r="R79" s="667"/>
    </row>
    <row r="80" spans="1:28">
      <c r="A80" s="713" t="s">
        <v>500</v>
      </c>
      <c r="B80" s="714">
        <f>BILANS!V36</f>
        <v>8754.095789476678</v>
      </c>
      <c r="C80" s="714">
        <f>R23</f>
        <v>7479.1719239620616</v>
      </c>
      <c r="D80" s="715">
        <f t="shared" ref="D80:D82" si="8">-(B80-C80)/B80</f>
        <v>-0.1456374131806058</v>
      </c>
      <c r="E80" s="714">
        <f>R49</f>
        <v>5636.4395512870778</v>
      </c>
      <c r="F80" s="715">
        <f t="shared" ref="F80:F82" si="9">-(B80-E80)/B80</f>
        <v>-0.35613686589280219</v>
      </c>
      <c r="H80" s="667"/>
      <c r="I80" s="667"/>
      <c r="J80" s="667"/>
      <c r="N80" s="667"/>
      <c r="O80" s="667"/>
      <c r="P80" s="667"/>
      <c r="Q80" s="667"/>
      <c r="R80" s="667"/>
    </row>
    <row r="81" spans="1:18">
      <c r="A81" s="713" t="s">
        <v>502</v>
      </c>
      <c r="B81" s="716">
        <f>BILANS!S36</f>
        <v>160.29988917139318</v>
      </c>
      <c r="C81" s="716">
        <f>O23</f>
        <v>131.76047750838944</v>
      </c>
      <c r="D81" s="715">
        <f t="shared" si="8"/>
        <v>-0.17803762566853243</v>
      </c>
      <c r="E81" s="716">
        <f>O49</f>
        <v>96.725534521626955</v>
      </c>
      <c r="F81" s="715">
        <f t="shared" si="9"/>
        <v>-0.39659637307541934</v>
      </c>
      <c r="H81" s="667"/>
      <c r="I81" s="667"/>
      <c r="J81" s="667"/>
      <c r="N81" s="667"/>
      <c r="O81" s="667"/>
      <c r="P81" s="667"/>
      <c r="Q81" s="667"/>
      <c r="R81" s="667"/>
    </row>
    <row r="82" spans="1:18">
      <c r="A82" s="713" t="s">
        <v>501</v>
      </c>
      <c r="B82" s="717">
        <f>B80/$G$58</f>
        <v>1.2255734105267349</v>
      </c>
      <c r="C82" s="717">
        <f>C80/$G$58</f>
        <v>1.0470840693546886</v>
      </c>
      <c r="D82" s="715">
        <f t="shared" si="8"/>
        <v>-0.1456374131806058</v>
      </c>
      <c r="E82" s="717">
        <f>E80/$G$58</f>
        <v>0.78910153718019083</v>
      </c>
      <c r="F82" s="715">
        <f t="shared" si="9"/>
        <v>-0.35613686589280225</v>
      </c>
      <c r="H82" s="667"/>
      <c r="I82" s="692"/>
      <c r="J82" s="667"/>
      <c r="N82" s="667"/>
      <c r="O82" s="667"/>
      <c r="P82" s="667"/>
      <c r="Q82" s="667"/>
      <c r="R82" s="667"/>
    </row>
    <row r="83" spans="1:18" ht="15.75">
      <c r="E83" s="667"/>
      <c r="F83" s="705"/>
      <c r="H83" s="667"/>
      <c r="I83" s="667"/>
      <c r="J83" s="667"/>
    </row>
    <row r="84" spans="1:18" ht="15.75">
      <c r="A84" s="684" t="s">
        <v>405</v>
      </c>
      <c r="B84" s="685"/>
      <c r="C84" s="685"/>
      <c r="D84" s="690"/>
      <c r="E84" s="690"/>
      <c r="F84" s="685"/>
      <c r="G84" s="705"/>
      <c r="H84" s="705"/>
      <c r="I84" s="667"/>
      <c r="J84" s="667"/>
    </row>
    <row r="85" spans="1:18" ht="15.75">
      <c r="A85" s="711"/>
      <c r="B85" s="711">
        <v>2013</v>
      </c>
      <c r="C85" s="719">
        <v>2020</v>
      </c>
      <c r="D85" s="719"/>
      <c r="E85" s="719">
        <v>2030</v>
      </c>
      <c r="F85" s="719"/>
      <c r="G85" s="685"/>
      <c r="H85" s="705"/>
      <c r="I85" s="667"/>
      <c r="J85" s="667"/>
    </row>
    <row r="86" spans="1:18" ht="15.75">
      <c r="A86" s="711">
        <v>1</v>
      </c>
      <c r="B86" s="711">
        <v>3</v>
      </c>
      <c r="C86" s="711">
        <v>4</v>
      </c>
      <c r="D86" s="711" t="s">
        <v>421</v>
      </c>
      <c r="E86" s="712">
        <v>6</v>
      </c>
      <c r="F86" s="711" t="s">
        <v>422</v>
      </c>
      <c r="H86" s="705"/>
      <c r="I86" s="667"/>
      <c r="J86" s="667"/>
    </row>
    <row r="87" spans="1:18" ht="15.75">
      <c r="A87" s="713" t="s">
        <v>499</v>
      </c>
      <c r="B87" s="714">
        <f>B56+B71+B79+B63</f>
        <v>198541.93942655998</v>
      </c>
      <c r="C87" s="714">
        <f>C56+C71+C79+C63</f>
        <v>199014.29192055782</v>
      </c>
      <c r="D87" s="715">
        <f>-(B87-C87)/B87</f>
        <v>2.3791068796956099E-3</v>
      </c>
      <c r="E87" s="714">
        <f>E56+E71+E79+E63</f>
        <v>196597.68061822318</v>
      </c>
      <c r="F87" s="715">
        <f t="shared" ref="F87:F88" si="10">-(B87-E87)/B87</f>
        <v>-9.7926856862198524E-3</v>
      </c>
      <c r="H87" s="705"/>
      <c r="I87" s="667"/>
      <c r="J87" s="667"/>
    </row>
    <row r="88" spans="1:18" ht="15.75">
      <c r="A88" s="713" t="s">
        <v>500</v>
      </c>
      <c r="B88" s="714">
        <f>B57+B72+B80+B64</f>
        <v>347705.38709255727</v>
      </c>
      <c r="C88" s="714">
        <f>C57+C72+C80+C64</f>
        <v>341023.56262245512</v>
      </c>
      <c r="D88" s="715">
        <f>-(B88-C88)/B88</f>
        <v>-1.921691385334643E-2</v>
      </c>
      <c r="E88" s="714">
        <f>E57+E72+E80+E64</f>
        <v>325446.53919266158</v>
      </c>
      <c r="F88" s="715">
        <f t="shared" si="10"/>
        <v>-6.401640217892425E-2</v>
      </c>
      <c r="H88" s="705"/>
      <c r="I88" s="667"/>
      <c r="J88" s="667"/>
    </row>
    <row r="89" spans="1:18" ht="15.75">
      <c r="A89" s="713" t="s">
        <v>502</v>
      </c>
      <c r="B89" s="716">
        <f>BILANS!R46</f>
        <v>160.96311412483328</v>
      </c>
      <c r="C89" s="716">
        <f>(C58*E3+C73*E15+C81*E21+E9*C65)/(E3+E15+E21+E9)</f>
        <v>151.74273520429207</v>
      </c>
      <c r="D89" s="715">
        <f t="shared" ref="D89:D90" si="11">-(B89-C89)/B89</f>
        <v>-5.7282557998911715E-2</v>
      </c>
      <c r="E89" s="716">
        <f>(E58*E3+E73*E15+E81*E21+E9*E65)/(E3+E15+E21+E9)</f>
        <v>130.89184678753628</v>
      </c>
      <c r="F89" s="715">
        <f t="shared" ref="F89:F90" si="12">-(B89-E89)/B89</f>
        <v>-0.18682085955404379</v>
      </c>
      <c r="H89" s="705"/>
      <c r="I89" s="667"/>
      <c r="J89" s="667"/>
    </row>
    <row r="90" spans="1:18" ht="15.75">
      <c r="A90" s="713" t="s">
        <v>501</v>
      </c>
      <c r="B90" s="717">
        <f>B88/$G$58</f>
        <v>48.678754192958017</v>
      </c>
      <c r="C90" s="717">
        <f>C88/$G$58</f>
        <v>47.743298767143713</v>
      </c>
      <c r="D90" s="715">
        <f t="shared" si="11"/>
        <v>-1.92169138533465E-2</v>
      </c>
      <c r="E90" s="717">
        <f>E88/$G$58</f>
        <v>45.562515486972622</v>
      </c>
      <c r="F90" s="715">
        <f t="shared" si="12"/>
        <v>-6.401640217892425E-2</v>
      </c>
      <c r="H90" s="705"/>
      <c r="I90" s="692"/>
      <c r="J90" s="667"/>
    </row>
    <row r="91" spans="1:18" ht="15.75">
      <c r="H91" s="705"/>
      <c r="I91" s="667"/>
      <c r="J91" s="667"/>
    </row>
    <row r="92" spans="1:18" ht="15.75">
      <c r="H92" s="705"/>
      <c r="I92" s="667"/>
      <c r="J92" s="667"/>
    </row>
    <row r="93" spans="1:18" ht="15.75">
      <c r="H93" s="705"/>
      <c r="I93" s="667"/>
      <c r="J93" s="667"/>
    </row>
    <row r="94" spans="1:18" ht="15.75">
      <c r="E94" s="667"/>
      <c r="F94" s="705"/>
      <c r="G94" s="705"/>
      <c r="H94" s="705"/>
      <c r="I94" s="667"/>
      <c r="J94" s="667"/>
    </row>
    <row r="95" spans="1:18" ht="15.75">
      <c r="E95" s="667"/>
      <c r="F95" s="705"/>
      <c r="G95" s="705"/>
      <c r="H95" s="705"/>
      <c r="I95" s="667"/>
      <c r="J95" s="667"/>
    </row>
    <row r="96" spans="1:18" ht="15.75">
      <c r="E96" s="667"/>
      <c r="F96" s="705"/>
      <c r="G96" s="705"/>
      <c r="H96" s="705"/>
      <c r="I96" s="667"/>
      <c r="J96" s="667"/>
    </row>
    <row r="97" spans="5:10" ht="15.75">
      <c r="E97" s="667"/>
      <c r="F97" s="705"/>
      <c r="G97" s="705"/>
      <c r="H97" s="705"/>
      <c r="I97" s="667"/>
      <c r="J97" s="667"/>
    </row>
    <row r="98" spans="5:10" ht="15.75">
      <c r="E98" s="667"/>
      <c r="F98" s="705"/>
      <c r="G98" s="705"/>
      <c r="H98" s="705"/>
      <c r="I98" s="667"/>
      <c r="J98" s="667"/>
    </row>
    <row r="99" spans="5:10" ht="15.75">
      <c r="E99" s="667"/>
      <c r="F99" s="705"/>
      <c r="G99" s="705"/>
      <c r="H99" s="705"/>
      <c r="I99" s="667"/>
      <c r="J99" s="667"/>
    </row>
    <row r="100" spans="5:10" ht="15.75">
      <c r="E100" s="667"/>
      <c r="F100" s="705"/>
      <c r="G100" s="705"/>
      <c r="H100" s="705"/>
      <c r="I100" s="667"/>
      <c r="J100" s="667"/>
    </row>
    <row r="101" spans="5:10" ht="15.75">
      <c r="E101" s="667"/>
      <c r="F101" s="705"/>
      <c r="G101" s="705"/>
      <c r="H101" s="705"/>
      <c r="I101" s="667"/>
      <c r="J101" s="667"/>
    </row>
    <row r="102" spans="5:10" ht="15.75">
      <c r="E102" s="667"/>
      <c r="F102" s="705"/>
      <c r="G102" s="705"/>
      <c r="H102" s="705"/>
      <c r="I102" s="667"/>
      <c r="J102" s="667"/>
    </row>
    <row r="103" spans="5:10" ht="15.75">
      <c r="E103" s="667"/>
      <c r="F103" s="705"/>
      <c r="G103" s="705"/>
      <c r="H103" s="705"/>
      <c r="I103" s="667"/>
      <c r="J103" s="667"/>
    </row>
    <row r="104" spans="5:10" ht="15.75">
      <c r="E104" s="667"/>
      <c r="F104" s="705"/>
      <c r="G104" s="705"/>
      <c r="H104" s="705"/>
      <c r="I104" s="667"/>
      <c r="J104" s="667"/>
    </row>
    <row r="105" spans="5:10" ht="15.75">
      <c r="E105" s="667"/>
      <c r="F105" s="705"/>
      <c r="G105" s="705"/>
      <c r="H105" s="705"/>
      <c r="I105" s="667"/>
      <c r="J105" s="667"/>
    </row>
    <row r="106" spans="5:10" ht="15.75">
      <c r="E106" s="667"/>
      <c r="F106" s="705"/>
      <c r="G106" s="705"/>
      <c r="H106" s="705"/>
      <c r="I106" s="667"/>
      <c r="J106" s="667"/>
    </row>
    <row r="107" spans="5:10" ht="15.75">
      <c r="E107" s="667"/>
      <c r="F107" s="705"/>
      <c r="G107" s="705"/>
      <c r="H107" s="705"/>
      <c r="I107" s="667"/>
      <c r="J107" s="667"/>
    </row>
    <row r="108" spans="5:10" ht="15.75">
      <c r="E108" s="667"/>
      <c r="F108" s="705"/>
      <c r="G108" s="705"/>
      <c r="H108" s="705"/>
      <c r="I108" s="667"/>
      <c r="J108" s="667"/>
    </row>
    <row r="109" spans="5:10" ht="15.75">
      <c r="E109" s="667"/>
      <c r="F109" s="705"/>
      <c r="G109" s="705"/>
      <c r="H109" s="705"/>
      <c r="I109" s="667"/>
      <c r="J109" s="667"/>
    </row>
    <row r="110" spans="5:10" ht="15.75">
      <c r="E110" s="667"/>
      <c r="F110" s="705"/>
      <c r="G110" s="705"/>
      <c r="H110" s="705"/>
      <c r="I110" s="667"/>
      <c r="J110" s="667"/>
    </row>
    <row r="111" spans="5:10" ht="15.75">
      <c r="E111" s="667"/>
      <c r="F111" s="705"/>
      <c r="G111" s="705"/>
      <c r="H111" s="705"/>
      <c r="I111" s="667"/>
      <c r="J111" s="667"/>
    </row>
    <row r="112" spans="5:10" ht="15.75">
      <c r="E112" s="667"/>
      <c r="F112" s="705"/>
      <c r="G112" s="705"/>
      <c r="H112" s="705"/>
      <c r="I112" s="667"/>
      <c r="J112" s="667"/>
    </row>
    <row r="113" spans="5:10" ht="15.75">
      <c r="E113" s="667"/>
      <c r="F113" s="705"/>
      <c r="G113" s="705"/>
      <c r="H113" s="705"/>
      <c r="I113" s="667"/>
      <c r="J113" s="667"/>
    </row>
    <row r="114" spans="5:10" ht="15.75">
      <c r="E114" s="667"/>
      <c r="F114" s="705"/>
      <c r="G114" s="705"/>
      <c r="H114" s="705"/>
      <c r="I114" s="667"/>
      <c r="J114" s="667"/>
    </row>
    <row r="115" spans="5:10" ht="15.75">
      <c r="E115" s="667"/>
      <c r="F115" s="705"/>
      <c r="G115" s="705"/>
      <c r="H115" s="705"/>
      <c r="I115" s="667"/>
      <c r="J115" s="667"/>
    </row>
    <row r="116" spans="5:10" ht="15.75">
      <c r="E116" s="667"/>
      <c r="F116" s="705"/>
      <c r="G116" s="705"/>
      <c r="H116" s="705"/>
      <c r="I116" s="667"/>
      <c r="J116" s="667"/>
    </row>
    <row r="117" spans="5:10" ht="15.75">
      <c r="E117" s="667"/>
      <c r="F117" s="705"/>
      <c r="G117" s="705"/>
      <c r="H117" s="705"/>
      <c r="I117" s="667"/>
      <c r="J117" s="667"/>
    </row>
    <row r="118" spans="5:10" ht="15.75">
      <c r="E118" s="667"/>
      <c r="F118" s="705"/>
      <c r="G118" s="705"/>
      <c r="H118" s="705"/>
      <c r="I118" s="667"/>
      <c r="J118" s="667"/>
    </row>
    <row r="119" spans="5:10" ht="15.75">
      <c r="E119" s="667"/>
      <c r="F119" s="705"/>
      <c r="G119" s="705"/>
      <c r="H119" s="705"/>
      <c r="I119" s="667"/>
      <c r="J119" s="667"/>
    </row>
    <row r="120" spans="5:10" ht="15.75">
      <c r="E120" s="667"/>
      <c r="F120" s="705"/>
      <c r="G120" s="705"/>
      <c r="H120" s="705"/>
      <c r="I120" s="667"/>
      <c r="J120" s="667"/>
    </row>
    <row r="121" spans="5:10" ht="15.75">
      <c r="E121" s="667"/>
      <c r="F121" s="705"/>
      <c r="G121" s="705"/>
      <c r="H121" s="705"/>
      <c r="I121" s="667"/>
      <c r="J121" s="667"/>
    </row>
    <row r="122" spans="5:10" ht="15.75">
      <c r="E122" s="667"/>
      <c r="F122" s="705"/>
      <c r="G122" s="705"/>
      <c r="H122" s="705"/>
      <c r="I122" s="667"/>
      <c r="J122" s="667"/>
    </row>
    <row r="123" spans="5:10">
      <c r="E123" s="667"/>
      <c r="F123" s="667"/>
      <c r="G123" s="667"/>
      <c r="H123" s="667"/>
      <c r="I123" s="667"/>
      <c r="J123" s="667"/>
    </row>
    <row r="124" spans="5:10">
      <c r="E124" s="667"/>
      <c r="F124" s="667"/>
      <c r="G124" s="667"/>
      <c r="H124" s="667"/>
      <c r="I124" s="667"/>
      <c r="J124" s="667"/>
    </row>
    <row r="125" spans="5:10">
      <c r="E125" s="667"/>
      <c r="F125" s="667"/>
      <c r="G125" s="667"/>
      <c r="H125" s="667"/>
      <c r="I125" s="667"/>
      <c r="J125" s="667"/>
    </row>
    <row r="126" spans="5:10">
      <c r="E126" s="667"/>
      <c r="F126" s="667"/>
      <c r="G126" s="667"/>
      <c r="H126" s="667"/>
      <c r="I126" s="667"/>
      <c r="J126" s="667"/>
    </row>
    <row r="127" spans="5:10">
      <c r="E127" s="667"/>
      <c r="F127" s="667"/>
      <c r="G127" s="667"/>
      <c r="H127" s="667"/>
      <c r="I127" s="667"/>
      <c r="J127" s="667"/>
    </row>
    <row r="128" spans="5:10">
      <c r="E128" s="667"/>
      <c r="F128" s="667"/>
      <c r="G128" s="667"/>
      <c r="H128" s="667"/>
      <c r="I128" s="667"/>
      <c r="J128" s="667"/>
    </row>
    <row r="129" spans="5:10">
      <c r="E129" s="667"/>
      <c r="F129" s="667"/>
      <c r="G129" s="667"/>
      <c r="H129" s="667"/>
      <c r="I129" s="667"/>
      <c r="J129" s="667"/>
    </row>
    <row r="130" spans="5:10">
      <c r="E130" s="667"/>
      <c r="F130" s="667"/>
      <c r="G130" s="667"/>
      <c r="H130" s="667"/>
      <c r="I130" s="667"/>
      <c r="J130" s="667"/>
    </row>
    <row r="131" spans="5:10">
      <c r="E131" s="667"/>
      <c r="F131" s="667"/>
      <c r="G131" s="667"/>
      <c r="H131" s="667"/>
      <c r="I131" s="667"/>
      <c r="J131" s="667"/>
    </row>
    <row r="132" spans="5:10">
      <c r="E132" s="667"/>
      <c r="F132" s="667"/>
      <c r="G132" s="667"/>
      <c r="H132" s="667"/>
      <c r="I132" s="667"/>
      <c r="J132" s="667"/>
    </row>
    <row r="133" spans="5:10">
      <c r="E133" s="667"/>
      <c r="F133" s="667"/>
      <c r="G133" s="667"/>
      <c r="H133" s="667"/>
      <c r="I133" s="667"/>
      <c r="J133" s="667"/>
    </row>
    <row r="134" spans="5:10">
      <c r="E134" s="667"/>
      <c r="F134" s="667"/>
      <c r="G134" s="667"/>
      <c r="H134" s="667"/>
      <c r="I134" s="667"/>
      <c r="J134" s="667"/>
    </row>
    <row r="135" spans="5:10">
      <c r="E135" s="667"/>
      <c r="F135" s="667"/>
      <c r="G135" s="667"/>
      <c r="H135" s="667"/>
      <c r="I135" s="667"/>
      <c r="J135" s="667"/>
    </row>
    <row r="136" spans="5:10">
      <c r="E136" s="667"/>
      <c r="F136" s="667"/>
      <c r="G136" s="667"/>
      <c r="H136" s="667"/>
      <c r="I136" s="667"/>
      <c r="J136" s="667"/>
    </row>
    <row r="137" spans="5:10">
      <c r="E137" s="667"/>
      <c r="F137" s="667"/>
      <c r="G137" s="667"/>
      <c r="H137" s="667"/>
      <c r="I137" s="667"/>
      <c r="J137" s="667"/>
    </row>
    <row r="138" spans="5:10" ht="15.75">
      <c r="E138" s="667"/>
      <c r="F138" s="667"/>
      <c r="G138" s="706"/>
      <c r="H138" s="1091"/>
      <c r="I138" s="1091"/>
      <c r="J138" s="706"/>
    </row>
    <row r="139" spans="5:10" ht="15.75">
      <c r="E139" s="667"/>
      <c r="F139" s="667"/>
      <c r="G139" s="707"/>
      <c r="H139" s="1090"/>
      <c r="I139" s="707"/>
      <c r="J139" s="707"/>
    </row>
    <row r="140" spans="5:10" ht="15.75">
      <c r="E140" s="667"/>
      <c r="F140" s="667"/>
      <c r="G140" s="707"/>
      <c r="H140" s="1090"/>
      <c r="I140" s="707"/>
      <c r="J140" s="707"/>
    </row>
    <row r="141" spans="5:10" ht="15.75">
      <c r="E141" s="667"/>
      <c r="F141" s="667"/>
      <c r="G141" s="707"/>
      <c r="H141" s="1090"/>
      <c r="I141" s="707"/>
      <c r="J141" s="707"/>
    </row>
    <row r="142" spans="5:10" ht="15.75">
      <c r="E142" s="667"/>
      <c r="F142" s="667"/>
      <c r="G142" s="707"/>
      <c r="H142" s="1090"/>
      <c r="I142" s="707"/>
      <c r="J142" s="707"/>
    </row>
    <row r="143" spans="5:10" ht="15.75">
      <c r="E143" s="667"/>
      <c r="F143" s="667"/>
      <c r="G143" s="707"/>
      <c r="H143" s="1090"/>
      <c r="I143" s="707"/>
      <c r="J143" s="707"/>
    </row>
    <row r="144" spans="5:10" ht="15.75">
      <c r="E144" s="667"/>
      <c r="F144" s="667"/>
      <c r="G144" s="707"/>
      <c r="H144" s="1090"/>
      <c r="I144" s="707"/>
      <c r="J144" s="707"/>
    </row>
    <row r="145" spans="5:10" ht="15.75">
      <c r="E145" s="667"/>
      <c r="F145" s="667"/>
      <c r="G145" s="707"/>
      <c r="H145" s="1090"/>
      <c r="I145" s="707"/>
      <c r="J145" s="707"/>
    </row>
    <row r="146" spans="5:10" ht="15.75">
      <c r="E146" s="667"/>
      <c r="F146" s="667"/>
      <c r="G146" s="707"/>
      <c r="H146" s="1090"/>
      <c r="I146" s="707"/>
      <c r="J146" s="707"/>
    </row>
    <row r="147" spans="5:10" ht="15.75">
      <c r="E147" s="667"/>
      <c r="F147" s="667"/>
      <c r="G147" s="707"/>
      <c r="H147" s="1090"/>
      <c r="I147" s="707"/>
      <c r="J147" s="707"/>
    </row>
    <row r="148" spans="5:10" ht="15.75">
      <c r="E148" s="667"/>
      <c r="F148" s="667"/>
      <c r="G148" s="707"/>
      <c r="H148" s="1090"/>
      <c r="I148" s="707"/>
      <c r="J148" s="707"/>
    </row>
    <row r="149" spans="5:10" ht="15.75">
      <c r="E149" s="667"/>
      <c r="F149" s="667"/>
      <c r="G149" s="707"/>
      <c r="H149" s="1090"/>
      <c r="I149" s="707"/>
      <c r="J149" s="707"/>
    </row>
    <row r="150" spans="5:10" ht="15.75">
      <c r="E150" s="667"/>
      <c r="F150" s="667"/>
      <c r="G150" s="707"/>
      <c r="H150" s="1090"/>
      <c r="I150" s="707"/>
      <c r="J150" s="707"/>
    </row>
    <row r="151" spans="5:10" ht="15.75">
      <c r="E151" s="667"/>
      <c r="F151" s="667"/>
      <c r="G151" s="707"/>
      <c r="H151" s="1090"/>
      <c r="I151" s="707"/>
      <c r="J151" s="707"/>
    </row>
    <row r="152" spans="5:10" ht="15.75">
      <c r="E152" s="667"/>
      <c r="F152" s="667"/>
      <c r="G152" s="707"/>
      <c r="H152" s="1090"/>
      <c r="I152" s="707"/>
      <c r="J152" s="707"/>
    </row>
    <row r="153" spans="5:10" ht="15">
      <c r="E153" s="667"/>
      <c r="F153" s="667"/>
      <c r="G153" s="708"/>
      <c r="H153" s="708"/>
      <c r="I153" s="708"/>
      <c r="J153" s="708"/>
    </row>
    <row r="154" spans="5:10" ht="15.75">
      <c r="E154" s="667"/>
      <c r="F154" s="667"/>
      <c r="G154" s="1090"/>
      <c r="H154" s="1090"/>
      <c r="I154" s="1090"/>
      <c r="J154" s="1090"/>
    </row>
    <row r="155" spans="5:10" ht="15.75">
      <c r="E155" s="667"/>
      <c r="F155" s="667"/>
      <c r="G155" s="1090"/>
      <c r="H155" s="1090"/>
      <c r="I155" s="1090"/>
      <c r="J155" s="1090"/>
    </row>
    <row r="156" spans="5:10" ht="15.75">
      <c r="E156" s="667"/>
      <c r="F156" s="667"/>
      <c r="G156" s="1090"/>
      <c r="H156" s="1090"/>
      <c r="I156" s="1090"/>
      <c r="J156" s="1090"/>
    </row>
    <row r="157" spans="5:10" ht="15.75">
      <c r="E157" s="667"/>
      <c r="F157" s="667"/>
      <c r="G157" s="1090"/>
      <c r="H157" s="1090"/>
      <c r="I157" s="1090"/>
      <c r="J157" s="1090"/>
    </row>
    <row r="158" spans="5:10" ht="15.75">
      <c r="E158" s="667"/>
      <c r="F158" s="667"/>
      <c r="G158" s="1090"/>
      <c r="H158" s="1090"/>
      <c r="I158" s="1090"/>
      <c r="J158" s="1090"/>
    </row>
    <row r="159" spans="5:10" ht="15.75">
      <c r="E159" s="667"/>
      <c r="F159" s="667"/>
      <c r="G159" s="1090"/>
      <c r="H159" s="1090"/>
      <c r="I159" s="1090"/>
      <c r="J159" s="1090"/>
    </row>
    <row r="160" spans="5:10">
      <c r="E160" s="667"/>
      <c r="F160" s="667"/>
      <c r="G160" s="667"/>
      <c r="H160" s="667"/>
      <c r="I160" s="667"/>
      <c r="J160" s="667"/>
    </row>
    <row r="161" spans="5:10">
      <c r="E161" s="667"/>
      <c r="F161" s="667"/>
      <c r="G161" s="667"/>
      <c r="H161" s="667"/>
      <c r="I161" s="667"/>
      <c r="J161" s="667"/>
    </row>
    <row r="162" spans="5:10">
      <c r="E162" s="667"/>
      <c r="F162" s="667"/>
      <c r="G162" s="667"/>
      <c r="H162" s="667"/>
      <c r="I162" s="667"/>
      <c r="J162" s="667"/>
    </row>
    <row r="163" spans="5:10">
      <c r="E163" s="667"/>
      <c r="F163" s="667"/>
      <c r="G163" s="667"/>
      <c r="H163" s="667"/>
      <c r="I163" s="667"/>
      <c r="J163" s="667"/>
    </row>
    <row r="164" spans="5:10">
      <c r="E164" s="667"/>
      <c r="F164" s="667"/>
      <c r="G164" s="667"/>
      <c r="H164" s="667"/>
      <c r="I164" s="667"/>
      <c r="J164" s="667"/>
    </row>
    <row r="165" spans="5:10">
      <c r="E165" s="667"/>
      <c r="F165" s="667"/>
      <c r="G165" s="667"/>
      <c r="H165" s="667"/>
      <c r="I165" s="667"/>
      <c r="J165" s="667"/>
    </row>
    <row r="166" spans="5:10">
      <c r="E166" s="667"/>
      <c r="F166" s="667"/>
      <c r="G166" s="667"/>
      <c r="H166" s="667"/>
      <c r="I166" s="667"/>
      <c r="J166" s="667"/>
    </row>
  </sheetData>
  <mergeCells count="47">
    <mergeCell ref="A52:R52"/>
    <mergeCell ref="R5:R6"/>
    <mergeCell ref="T64:U64"/>
    <mergeCell ref="P5:P6"/>
    <mergeCell ref="O23:O24"/>
    <mergeCell ref="P23:P24"/>
    <mergeCell ref="R43:R44"/>
    <mergeCell ref="R23:R24"/>
    <mergeCell ref="R37:R38"/>
    <mergeCell ref="O49:O50"/>
    <mergeCell ref="P49:P50"/>
    <mergeCell ref="R49:R50"/>
    <mergeCell ref="G154:J154"/>
    <mergeCell ref="L48:M48"/>
    <mergeCell ref="L10:M10"/>
    <mergeCell ref="P11:P12"/>
    <mergeCell ref="P17:P18"/>
    <mergeCell ref="H138:I138"/>
    <mergeCell ref="H139:H145"/>
    <mergeCell ref="H146:H147"/>
    <mergeCell ref="H148:H150"/>
    <mergeCell ref="H151:H152"/>
    <mergeCell ref="O43:O44"/>
    <mergeCell ref="P43:P44"/>
    <mergeCell ref="L36:M36"/>
    <mergeCell ref="O37:O38"/>
    <mergeCell ref="P37:P38"/>
    <mergeCell ref="L42:M42"/>
    <mergeCell ref="G155:J155"/>
    <mergeCell ref="G156:J156"/>
    <mergeCell ref="G157:J157"/>
    <mergeCell ref="G158:J158"/>
    <mergeCell ref="G159:J159"/>
    <mergeCell ref="A1:R1"/>
    <mergeCell ref="A27:R27"/>
    <mergeCell ref="L30:M30"/>
    <mergeCell ref="O31:O32"/>
    <mergeCell ref="P31:P32"/>
    <mergeCell ref="O5:O6"/>
    <mergeCell ref="O11:O12"/>
    <mergeCell ref="L16:M16"/>
    <mergeCell ref="O17:O18"/>
    <mergeCell ref="L22:M22"/>
    <mergeCell ref="R11:R12"/>
    <mergeCell ref="R17:R18"/>
    <mergeCell ref="L4:M4"/>
    <mergeCell ref="R31:R32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</sheetPr>
  <dimension ref="A1:T166"/>
  <sheetViews>
    <sheetView zoomScale="70" zoomScaleNormal="70" workbookViewId="0">
      <pane xSplit="1" ySplit="1" topLeftCell="B86" activePane="bottomRight" state="frozen"/>
      <selection pane="topRight" activeCell="B1" sqref="B1"/>
      <selection pane="bottomLeft" activeCell="A2" sqref="A2"/>
      <selection pane="bottomRight" activeCell="L57" sqref="L57"/>
    </sheetView>
  </sheetViews>
  <sheetFormatPr defaultColWidth="9.140625" defaultRowHeight="12.75"/>
  <cols>
    <col min="1" max="1" width="10.28515625" style="540" customWidth="1"/>
    <col min="2" max="2" width="12.5703125" style="540" customWidth="1"/>
    <col min="3" max="3" width="9.5703125" style="540" customWidth="1"/>
    <col min="4" max="4" width="9.7109375" style="540" customWidth="1"/>
    <col min="5" max="5" width="18.42578125" style="540" bestFit="1" customWidth="1"/>
    <col min="6" max="6" width="12" style="540" bestFit="1" customWidth="1"/>
    <col min="7" max="7" width="10.85546875" style="540" bestFit="1" customWidth="1"/>
    <col min="8" max="8" width="12.7109375" style="540" customWidth="1"/>
    <col min="9" max="9" width="12" style="540" customWidth="1"/>
    <col min="10" max="10" width="11" style="540" bestFit="1" customWidth="1"/>
    <col min="11" max="11" width="17.7109375" style="540" customWidth="1"/>
    <col min="12" max="12" width="9.28515625" style="540" bestFit="1" customWidth="1"/>
    <col min="13" max="13" width="8.85546875" style="540" bestFit="1" customWidth="1"/>
    <col min="14" max="14" width="12.85546875" style="540" customWidth="1"/>
    <col min="15" max="15" width="12" style="540" customWidth="1"/>
    <col min="16" max="16" width="9.140625" style="540"/>
    <col min="17" max="17" width="9.5703125" style="540" customWidth="1"/>
    <col min="18" max="18" width="11.5703125" style="540" customWidth="1"/>
    <col min="19" max="19" width="5.28515625" style="540" customWidth="1"/>
    <col min="20" max="20" width="11" style="540" customWidth="1"/>
    <col min="21" max="16384" width="9.140625" style="540"/>
  </cols>
  <sheetData>
    <row r="1" spans="1:20" ht="18">
      <c r="A1" s="1113">
        <v>2022</v>
      </c>
      <c r="B1" s="1113"/>
      <c r="C1" s="1113"/>
      <c r="D1" s="1113"/>
      <c r="E1" s="1113"/>
      <c r="F1" s="1113"/>
      <c r="G1" s="1113"/>
      <c r="H1" s="1113"/>
      <c r="I1" s="1113"/>
      <c r="J1" s="1113"/>
      <c r="K1" s="1113"/>
      <c r="L1" s="1113"/>
      <c r="M1" s="1113"/>
      <c r="N1" s="1113"/>
      <c r="O1" s="1113"/>
      <c r="P1" s="1113"/>
      <c r="Q1" s="1113"/>
      <c r="R1" s="1113"/>
    </row>
    <row r="2" spans="1:20">
      <c r="A2" s="541" t="s">
        <v>307</v>
      </c>
      <c r="D2" s="542" t="s">
        <v>301</v>
      </c>
      <c r="E2" s="543" t="s">
        <v>309</v>
      </c>
      <c r="L2" s="544" t="s">
        <v>467</v>
      </c>
      <c r="M2" s="544"/>
      <c r="N2" s="544"/>
      <c r="O2" s="544"/>
    </row>
    <row r="3" spans="1:20">
      <c r="A3" s="545"/>
      <c r="B3" s="546"/>
      <c r="C3" s="547"/>
      <c r="D3" s="547"/>
      <c r="E3" s="548">
        <f>E5+E6</f>
        <v>286967.44</v>
      </c>
      <c r="F3" s="549"/>
      <c r="G3" s="549"/>
      <c r="H3" s="549"/>
      <c r="I3" s="549"/>
      <c r="J3" s="549"/>
      <c r="K3" s="549"/>
      <c r="L3" s="550" t="s">
        <v>315</v>
      </c>
      <c r="M3" s="550" t="s">
        <v>303</v>
      </c>
      <c r="N3" s="549"/>
      <c r="O3" s="547"/>
      <c r="P3" s="551">
        <f>OPTI!P3</f>
        <v>0.9</v>
      </c>
      <c r="Q3" s="552">
        <f>BILANS!V1</f>
        <v>0.8</v>
      </c>
      <c r="R3" s="546"/>
    </row>
    <row r="4" spans="1:20" ht="33" customHeight="1">
      <c r="A4" s="553"/>
      <c r="B4" s="554" t="s">
        <v>408</v>
      </c>
      <c r="C4" s="553" t="s">
        <v>410</v>
      </c>
      <c r="D4" s="555" t="s">
        <v>308</v>
      </c>
      <c r="E4" s="556" t="s">
        <v>209</v>
      </c>
      <c r="F4" s="557" t="s">
        <v>210</v>
      </c>
      <c r="G4" s="557" t="s">
        <v>211</v>
      </c>
      <c r="H4" s="558" t="s">
        <v>212</v>
      </c>
      <c r="I4" s="559" t="s">
        <v>310</v>
      </c>
      <c r="J4" s="559" t="s">
        <v>311</v>
      </c>
      <c r="K4" s="559" t="s">
        <v>312</v>
      </c>
      <c r="L4" s="1104" t="s">
        <v>314</v>
      </c>
      <c r="M4" s="1105"/>
      <c r="N4" s="559" t="s">
        <v>313</v>
      </c>
      <c r="O4" s="560" t="s">
        <v>316</v>
      </c>
      <c r="P4" s="561" t="s">
        <v>321</v>
      </c>
      <c r="Q4" s="561" t="s">
        <v>323</v>
      </c>
      <c r="R4" s="561" t="s">
        <v>324</v>
      </c>
    </row>
    <row r="5" spans="1:20">
      <c r="A5" s="562" t="s">
        <v>407</v>
      </c>
      <c r="B5" s="563">
        <v>0</v>
      </c>
      <c r="C5" s="564">
        <f>BILANS!S4</f>
        <v>178.20000000000002</v>
      </c>
      <c r="D5" s="562">
        <v>100</v>
      </c>
      <c r="E5" s="565">
        <f>BILANS!I2</f>
        <v>270724</v>
      </c>
      <c r="F5" s="566">
        <f>(1-B5)*E5</f>
        <v>270724</v>
      </c>
      <c r="G5" s="567">
        <f>B5*E5</f>
        <v>0</v>
      </c>
      <c r="H5" s="568">
        <f>B5*D5+(1-B5)*C5</f>
        <v>178.20000000000002</v>
      </c>
      <c r="I5" s="569">
        <f>F5*C5*0.0036</f>
        <v>173674.86048</v>
      </c>
      <c r="J5" s="569">
        <f>G5*D5*0.0036</f>
        <v>0</v>
      </c>
      <c r="K5" s="569">
        <f>I5+J5</f>
        <v>173674.86048</v>
      </c>
      <c r="L5" s="570">
        <f>BILANS!O11</f>
        <v>0.61668550807762579</v>
      </c>
      <c r="M5" s="571">
        <v>0.9</v>
      </c>
      <c r="N5" s="569">
        <f>I5/L5+J5/M5</f>
        <v>281626.30417794501</v>
      </c>
      <c r="O5" s="1099">
        <f>E5/E3*H5+E6/E3*C6</f>
        <v>174.90566037735852</v>
      </c>
      <c r="P5" s="1099">
        <f>P3*'CWU i pow.'!C5*Q3</f>
        <v>7745.8305078771373</v>
      </c>
      <c r="Q5" s="572" t="s">
        <v>322</v>
      </c>
      <c r="R5" s="1106">
        <f>(N7+P5+Q7)</f>
        <v>265314.2999604824</v>
      </c>
      <c r="T5" s="541"/>
    </row>
    <row r="6" spans="1:20">
      <c r="A6" s="562" t="s">
        <v>409</v>
      </c>
      <c r="B6" s="573"/>
      <c r="C6" s="574">
        <v>120</v>
      </c>
      <c r="D6" s="562"/>
      <c r="E6" s="565">
        <f>'CWU i pow.'!L25-ZANIECH!E5</f>
        <v>16243.440000000002</v>
      </c>
      <c r="F6" s="566"/>
      <c r="G6" s="567"/>
      <c r="H6" s="568"/>
      <c r="I6" s="569">
        <f>E6*C6*0.0036</f>
        <v>7017.1660800000009</v>
      </c>
      <c r="J6" s="569"/>
      <c r="K6" s="569">
        <f>I6</f>
        <v>7017.1660800000009</v>
      </c>
      <c r="L6" s="571"/>
      <c r="M6" s="571"/>
      <c r="N6" s="569">
        <f>K6</f>
        <v>7017.1660800000009</v>
      </c>
      <c r="O6" s="1100"/>
      <c r="P6" s="1100"/>
      <c r="Q6" s="575">
        <f>BILANS!U5</f>
        <v>0.7</v>
      </c>
      <c r="R6" s="1107"/>
    </row>
    <row r="7" spans="1:20">
      <c r="A7" s="546"/>
      <c r="B7" s="546"/>
      <c r="C7" s="546"/>
      <c r="D7" s="546"/>
      <c r="E7" s="546"/>
      <c r="F7" s="576"/>
      <c r="G7" s="576"/>
      <c r="H7" s="577" t="s">
        <v>220</v>
      </c>
      <c r="I7" s="569">
        <f>SUM(I5:I6)</f>
        <v>180692.02656</v>
      </c>
      <c r="J7" s="569">
        <f>SUM(J5:J6)</f>
        <v>0</v>
      </c>
      <c r="K7" s="569">
        <f>SUM(K5:K6)*Q3</f>
        <v>144553.62124800001</v>
      </c>
      <c r="L7" s="571"/>
      <c r="M7" s="571"/>
      <c r="N7" s="569">
        <f>SUM(N5:N6)*Q3</f>
        <v>230914.77620635601</v>
      </c>
      <c r="O7" s="546"/>
      <c r="P7" s="546"/>
      <c r="Q7" s="578">
        <f>'CWU i pow.'!C15/ZANIECH!Q6*Q3</f>
        <v>26653.693246249284</v>
      </c>
      <c r="R7" s="546"/>
    </row>
    <row r="8" spans="1:20">
      <c r="A8" s="541" t="s">
        <v>325</v>
      </c>
      <c r="D8" s="579"/>
      <c r="H8" s="580"/>
      <c r="I8" s="581"/>
      <c r="J8" s="582"/>
      <c r="K8" s="581"/>
      <c r="L8" s="581"/>
      <c r="M8" s="581"/>
      <c r="N8" s="581"/>
      <c r="O8" s="581"/>
    </row>
    <row r="9" spans="1:20">
      <c r="A9" s="545"/>
      <c r="B9" s="546"/>
      <c r="C9" s="547"/>
      <c r="D9" s="547"/>
      <c r="E9" s="548">
        <f>'CWU i pow.'!M25</f>
        <v>18461.274999999998</v>
      </c>
      <c r="F9" s="549"/>
      <c r="G9" s="549"/>
      <c r="H9" s="549"/>
      <c r="I9" s="549"/>
      <c r="J9" s="549"/>
      <c r="K9" s="549"/>
      <c r="L9" s="550" t="s">
        <v>315</v>
      </c>
      <c r="M9" s="550" t="s">
        <v>303</v>
      </c>
      <c r="N9" s="549"/>
      <c r="O9" s="547"/>
      <c r="P9" s="551">
        <f>OPTI!P9</f>
        <v>0.8</v>
      </c>
      <c r="Q9" s="583">
        <f>BILANS!V13</f>
        <v>0.74580000000000002</v>
      </c>
      <c r="R9" s="546"/>
    </row>
    <row r="10" spans="1:20" ht="33.75">
      <c r="A10" s="553"/>
      <c r="B10" s="554" t="s">
        <v>408</v>
      </c>
      <c r="C10" s="553" t="s">
        <v>410</v>
      </c>
      <c r="D10" s="555" t="s">
        <v>308</v>
      </c>
      <c r="E10" s="556" t="s">
        <v>209</v>
      </c>
      <c r="F10" s="557" t="s">
        <v>210</v>
      </c>
      <c r="G10" s="557" t="s">
        <v>211</v>
      </c>
      <c r="H10" s="558" t="s">
        <v>212</v>
      </c>
      <c r="I10" s="559" t="s">
        <v>310</v>
      </c>
      <c r="J10" s="559" t="s">
        <v>311</v>
      </c>
      <c r="K10" s="559" t="s">
        <v>312</v>
      </c>
      <c r="L10" s="1104" t="s">
        <v>314</v>
      </c>
      <c r="M10" s="1105"/>
      <c r="N10" s="559" t="s">
        <v>313</v>
      </c>
      <c r="O10" s="560" t="s">
        <v>316</v>
      </c>
      <c r="P10" s="561" t="s">
        <v>321</v>
      </c>
      <c r="Q10" s="561" t="s">
        <v>323</v>
      </c>
      <c r="R10" s="561" t="s">
        <v>324</v>
      </c>
    </row>
    <row r="11" spans="1:20">
      <c r="A11" s="562" t="s">
        <v>407</v>
      </c>
      <c r="B11" s="563">
        <v>0</v>
      </c>
      <c r="C11" s="584">
        <f>BILANS!S15</f>
        <v>121.34823163622232</v>
      </c>
      <c r="D11" s="562">
        <v>90</v>
      </c>
      <c r="E11" s="565">
        <f>BILANS!I13</f>
        <v>18011</v>
      </c>
      <c r="F11" s="566">
        <f>(1-B11)*E11</f>
        <v>18011</v>
      </c>
      <c r="G11" s="567">
        <f>B11*E11</f>
        <v>0</v>
      </c>
      <c r="H11" s="568">
        <f>B11*D11+(1-B11)*C11</f>
        <v>121.34823163622232</v>
      </c>
      <c r="I11" s="569">
        <f>F11*C11*0.0036</f>
        <v>7868.1708000000017</v>
      </c>
      <c r="J11" s="569">
        <f>G11*D11*0.0036</f>
        <v>0</v>
      </c>
      <c r="K11" s="569">
        <f>I11+J11</f>
        <v>7868.1708000000017</v>
      </c>
      <c r="L11" s="571">
        <f>OPTI!$L$11</f>
        <v>0.87778490681720411</v>
      </c>
      <c r="M11" s="571">
        <v>0.9</v>
      </c>
      <c r="N11" s="569">
        <f>I11/L11+J11/M11</f>
        <v>8963.6660859543845</v>
      </c>
      <c r="O11" s="1099">
        <f>E11/E9*H11+E12/E9*C12</f>
        <v>121.07144549875349</v>
      </c>
      <c r="P11" s="1099">
        <f>P9*'CWU i pow.'!D19*Q9</f>
        <v>522.06159891481661</v>
      </c>
      <c r="Q11" s="572" t="s">
        <v>322</v>
      </c>
      <c r="R11" s="1106">
        <f>N13+P11+Q13</f>
        <v>9449.3842252540089</v>
      </c>
    </row>
    <row r="12" spans="1:20">
      <c r="A12" s="562" t="s">
        <v>409</v>
      </c>
      <c r="B12" s="573"/>
      <c r="C12" s="584">
        <v>110</v>
      </c>
      <c r="D12" s="562"/>
      <c r="E12" s="565">
        <f>E9-E11</f>
        <v>450.27499999999782</v>
      </c>
      <c r="F12" s="566"/>
      <c r="G12" s="567"/>
      <c r="H12" s="568"/>
      <c r="I12" s="569">
        <f>E12*C12*0.0036</f>
        <v>178.30889999999914</v>
      </c>
      <c r="J12" s="569"/>
      <c r="K12" s="569">
        <f>I12</f>
        <v>178.30889999999914</v>
      </c>
      <c r="L12" s="571"/>
      <c r="M12" s="571"/>
      <c r="N12" s="569">
        <f>K12</f>
        <v>178.30889999999914</v>
      </c>
      <c r="O12" s="1100"/>
      <c r="P12" s="1100"/>
      <c r="Q12" s="575">
        <f>BILANS!U16</f>
        <v>0.9</v>
      </c>
      <c r="R12" s="1107"/>
    </row>
    <row r="13" spans="1:20">
      <c r="A13" s="546"/>
      <c r="B13" s="546"/>
      <c r="C13" s="546"/>
      <c r="D13" s="546"/>
      <c r="E13" s="546"/>
      <c r="F13" s="576"/>
      <c r="G13" s="576"/>
      <c r="H13" s="577" t="s">
        <v>220</v>
      </c>
      <c r="I13" s="569">
        <f>SUM(I11:I12)</f>
        <v>8046.4797000000008</v>
      </c>
      <c r="J13" s="569">
        <f>SUM(J11:J12)</f>
        <v>0</v>
      </c>
      <c r="K13" s="569">
        <f>SUM(K11:K12)*Q9</f>
        <v>6001.0645602600007</v>
      </c>
      <c r="L13" s="571"/>
      <c r="M13" s="571"/>
      <c r="N13" s="569">
        <f>SUM(N11:N12)*Q9</f>
        <v>6818.0849445247804</v>
      </c>
      <c r="O13" s="546"/>
      <c r="P13" s="546"/>
      <c r="Q13" s="578">
        <f>'CWU i pow.'!D15/ZANIECH!Q12*Q9</f>
        <v>2109.2376818144126</v>
      </c>
      <c r="R13" s="546"/>
    </row>
    <row r="14" spans="1:20">
      <c r="A14" s="541" t="s">
        <v>326</v>
      </c>
      <c r="B14" s="581"/>
      <c r="C14" s="581"/>
      <c r="D14" s="581"/>
      <c r="E14" s="581"/>
      <c r="F14" s="581"/>
      <c r="G14" s="581"/>
      <c r="H14" s="585"/>
      <c r="I14" s="586"/>
      <c r="J14" s="586"/>
      <c r="K14" s="586"/>
      <c r="L14" s="587"/>
      <c r="M14" s="587"/>
      <c r="N14" s="586"/>
      <c r="O14" s="581"/>
      <c r="P14" s="581"/>
      <c r="Q14" s="588"/>
      <c r="R14" s="581"/>
    </row>
    <row r="15" spans="1:20">
      <c r="A15" s="545"/>
      <c r="B15" s="546"/>
      <c r="C15" s="547"/>
      <c r="D15" s="547"/>
      <c r="E15" s="548">
        <f>E17+E18</f>
        <v>134751.6</v>
      </c>
      <c r="F15" s="549"/>
      <c r="G15" s="549"/>
      <c r="H15" s="549"/>
      <c r="I15" s="549"/>
      <c r="J15" s="549"/>
      <c r="K15" s="549"/>
      <c r="L15" s="550" t="s">
        <v>315</v>
      </c>
      <c r="M15" s="550" t="s">
        <v>303</v>
      </c>
      <c r="N15" s="549"/>
      <c r="O15" s="547"/>
      <c r="P15" s="551">
        <f>OPTI!P15</f>
        <v>0.8</v>
      </c>
      <c r="Q15" s="552">
        <f>BILANS!V23</f>
        <v>0.8</v>
      </c>
      <c r="R15" s="546"/>
    </row>
    <row r="16" spans="1:20" ht="33.75">
      <c r="A16" s="553"/>
      <c r="B16" s="554" t="s">
        <v>408</v>
      </c>
      <c r="C16" s="553" t="s">
        <v>410</v>
      </c>
      <c r="D16" s="555" t="s">
        <v>308</v>
      </c>
      <c r="E16" s="556" t="s">
        <v>209</v>
      </c>
      <c r="F16" s="557" t="s">
        <v>210</v>
      </c>
      <c r="G16" s="557" t="s">
        <v>211</v>
      </c>
      <c r="H16" s="558" t="s">
        <v>212</v>
      </c>
      <c r="I16" s="559" t="s">
        <v>310</v>
      </c>
      <c r="J16" s="559" t="s">
        <v>311</v>
      </c>
      <c r="K16" s="559" t="s">
        <v>312</v>
      </c>
      <c r="L16" s="1104" t="s">
        <v>314</v>
      </c>
      <c r="M16" s="1105"/>
      <c r="N16" s="559" t="s">
        <v>313</v>
      </c>
      <c r="O16" s="560" t="s">
        <v>316</v>
      </c>
      <c r="P16" s="561" t="s">
        <v>321</v>
      </c>
      <c r="Q16" s="561" t="s">
        <v>323</v>
      </c>
      <c r="R16" s="561" t="s">
        <v>324</v>
      </c>
    </row>
    <row r="17" spans="1:18">
      <c r="A17" s="562" t="s">
        <v>407</v>
      </c>
      <c r="B17" s="563">
        <v>0</v>
      </c>
      <c r="C17" s="584">
        <f>BILANS!S26</f>
        <v>129.36287500000003</v>
      </c>
      <c r="D17" s="562">
        <v>90</v>
      </c>
      <c r="E17" s="565">
        <f>BILANS!I24</f>
        <v>124770</v>
      </c>
      <c r="F17" s="566">
        <f>(1-B17)*E17</f>
        <v>124770</v>
      </c>
      <c r="G17" s="567">
        <f>B17*E17</f>
        <v>0</v>
      </c>
      <c r="H17" s="568">
        <f>B17*D17+(1-B17)*C17</f>
        <v>129.36287500000003</v>
      </c>
      <c r="I17" s="569">
        <f>F17*C17*0.0036</f>
        <v>58106.181289500011</v>
      </c>
      <c r="J17" s="569">
        <f>G17*D17*0.0036</f>
        <v>0</v>
      </c>
      <c r="K17" s="569">
        <f>I17+J17</f>
        <v>58106.181289500011</v>
      </c>
      <c r="L17" s="570">
        <f>OPTI!L17</f>
        <v>0.67163743331471515</v>
      </c>
      <c r="M17" s="571">
        <v>0.9</v>
      </c>
      <c r="N17" s="569">
        <f>I17/L17+J17/M17</f>
        <v>86514.209017103247</v>
      </c>
      <c r="O17" s="1099">
        <f>E17/E15*H17+E18/E15*C18</f>
        <v>127.92858796296299</v>
      </c>
      <c r="P17" s="1099"/>
      <c r="Q17" s="572" t="s">
        <v>322</v>
      </c>
      <c r="R17" s="1110">
        <f>N19+P17+Q19</f>
        <v>73782.957244088146</v>
      </c>
    </row>
    <row r="18" spans="1:18">
      <c r="A18" s="562" t="s">
        <v>409</v>
      </c>
      <c r="B18" s="573"/>
      <c r="C18" s="584">
        <v>110</v>
      </c>
      <c r="D18" s="562"/>
      <c r="E18" s="565">
        <f>'CWU i pow.'!O25-ZANIECH!E17</f>
        <v>9981.6000000000058</v>
      </c>
      <c r="F18" s="566"/>
      <c r="G18" s="567"/>
      <c r="H18" s="568"/>
      <c r="I18" s="569">
        <f>E18*C18*0.0036</f>
        <v>3952.7136000000023</v>
      </c>
      <c r="J18" s="569"/>
      <c r="K18" s="569">
        <f>I18</f>
        <v>3952.7136000000023</v>
      </c>
      <c r="L18" s="571"/>
      <c r="M18" s="571"/>
      <c r="N18" s="569">
        <f>K18</f>
        <v>3952.7136000000023</v>
      </c>
      <c r="O18" s="1100"/>
      <c r="P18" s="1100"/>
      <c r="Q18" s="575">
        <f>BILANS!U27</f>
        <v>0.7</v>
      </c>
      <c r="R18" s="1111"/>
    </row>
    <row r="19" spans="1:18">
      <c r="A19" s="546"/>
      <c r="B19" s="546"/>
      <c r="C19" s="546"/>
      <c r="D19" s="546"/>
      <c r="E19" s="546"/>
      <c r="F19" s="576"/>
      <c r="G19" s="576"/>
      <c r="H19" s="577" t="s">
        <v>220</v>
      </c>
      <c r="I19" s="569">
        <f>SUM(I17:I18)</f>
        <v>62058.894889500014</v>
      </c>
      <c r="J19" s="569">
        <f>SUM(J17:J18)</f>
        <v>0</v>
      </c>
      <c r="K19" s="569">
        <f>SUM(K17:K18)*Q15</f>
        <v>49647.115911600013</v>
      </c>
      <c r="L19" s="571"/>
      <c r="M19" s="571"/>
      <c r="N19" s="569">
        <f>SUM(N17:N18)*Q15</f>
        <v>72373.538093682597</v>
      </c>
      <c r="O19" s="546"/>
      <c r="P19" s="546"/>
      <c r="Q19" s="578">
        <f>'CWU i pow.'!E15/ZANIECH!Q18*Q15</f>
        <v>1409.4191504055425</v>
      </c>
      <c r="R19" s="546"/>
    </row>
    <row r="20" spans="1:18">
      <c r="A20" s="541" t="s">
        <v>414</v>
      </c>
      <c r="B20" s="581"/>
      <c r="C20" s="581"/>
      <c r="D20" s="581"/>
      <c r="E20" s="581"/>
      <c r="F20" s="581"/>
      <c r="G20" s="581"/>
      <c r="H20" s="585"/>
      <c r="I20" s="586"/>
      <c r="J20" s="586"/>
      <c r="K20" s="586"/>
      <c r="L20" s="587"/>
      <c r="M20" s="587"/>
      <c r="N20" s="586"/>
      <c r="O20" s="581"/>
      <c r="P20" s="581"/>
      <c r="Q20" s="588"/>
      <c r="R20" s="581"/>
    </row>
    <row r="21" spans="1:18">
      <c r="A21" s="545"/>
      <c r="B21" s="546"/>
      <c r="C21" s="547"/>
      <c r="D21" s="547"/>
      <c r="E21" s="589">
        <f>E23+E24</f>
        <v>15799.17</v>
      </c>
      <c r="F21" s="549"/>
      <c r="G21" s="549"/>
      <c r="H21" s="549"/>
      <c r="I21" s="549"/>
      <c r="J21" s="549"/>
      <c r="K21" s="549"/>
      <c r="L21" s="550" t="s">
        <v>315</v>
      </c>
      <c r="M21" s="550" t="s">
        <v>303</v>
      </c>
      <c r="N21" s="549"/>
      <c r="O21" s="547"/>
      <c r="P21" s="551">
        <f>OPTI!P21</f>
        <v>0.8</v>
      </c>
      <c r="Q21" s="552">
        <f>BILANS!V33</f>
        <v>0.81893000000000005</v>
      </c>
      <c r="R21" s="546"/>
    </row>
    <row r="22" spans="1:18" ht="33.75">
      <c r="A22" s="553"/>
      <c r="B22" s="554" t="s">
        <v>408</v>
      </c>
      <c r="C22" s="553" t="s">
        <v>410</v>
      </c>
      <c r="D22" s="555" t="s">
        <v>308</v>
      </c>
      <c r="E22" s="556" t="s">
        <v>209</v>
      </c>
      <c r="F22" s="557" t="s">
        <v>210</v>
      </c>
      <c r="G22" s="557" t="s">
        <v>211</v>
      </c>
      <c r="H22" s="558" t="s">
        <v>212</v>
      </c>
      <c r="I22" s="559" t="s">
        <v>310</v>
      </c>
      <c r="J22" s="559" t="s">
        <v>311</v>
      </c>
      <c r="K22" s="559" t="s">
        <v>312</v>
      </c>
      <c r="L22" s="1104" t="s">
        <v>314</v>
      </c>
      <c r="M22" s="1105"/>
      <c r="N22" s="559" t="s">
        <v>313</v>
      </c>
      <c r="O22" s="560" t="s">
        <v>316</v>
      </c>
      <c r="P22" s="561" t="s">
        <v>321</v>
      </c>
      <c r="Q22" s="561" t="s">
        <v>323</v>
      </c>
      <c r="R22" s="561" t="s">
        <v>324</v>
      </c>
    </row>
    <row r="23" spans="1:18">
      <c r="A23" s="562" t="s">
        <v>407</v>
      </c>
      <c r="B23" s="563">
        <v>0</v>
      </c>
      <c r="C23" s="564">
        <f>BILANS!S36</f>
        <v>160.29988917139318</v>
      </c>
      <c r="D23" s="562">
        <v>90</v>
      </c>
      <c r="E23" s="590">
        <f>BILANS!I34</f>
        <v>15339</v>
      </c>
      <c r="F23" s="566">
        <f>(1-B23)*E23</f>
        <v>15339</v>
      </c>
      <c r="G23" s="567">
        <f>B23*E23</f>
        <v>0</v>
      </c>
      <c r="H23" s="568">
        <f>B23*D23+(1-B23)*C23</f>
        <v>160.29988917139318</v>
      </c>
      <c r="I23" s="569">
        <f>F23*C23*0.0036</f>
        <v>8851.8240000000005</v>
      </c>
      <c r="J23" s="569">
        <f>G23*D23*0.0036</f>
        <v>0</v>
      </c>
      <c r="K23" s="569">
        <f>I23+J23</f>
        <v>8851.8240000000005</v>
      </c>
      <c r="L23" s="591">
        <f>BILANS!O43</f>
        <v>0.86302858543540462</v>
      </c>
      <c r="M23" s="571">
        <v>0.9</v>
      </c>
      <c r="N23" s="569">
        <f>I23/L23+J23/M23</f>
        <v>10256.698502673798</v>
      </c>
      <c r="O23" s="1099">
        <f>E23/E21*H23+E24/E21*C24</f>
        <v>158.54358171979919</v>
      </c>
      <c r="P23" s="1099"/>
      <c r="Q23" s="572" t="s">
        <v>322</v>
      </c>
      <c r="R23" s="1110">
        <f>N25+P23+Q25</f>
        <v>9119.1951241430233</v>
      </c>
    </row>
    <row r="24" spans="1:18">
      <c r="A24" s="562" t="s">
        <v>409</v>
      </c>
      <c r="B24" s="573"/>
      <c r="C24" s="584">
        <v>100</v>
      </c>
      <c r="D24" s="562"/>
      <c r="E24" s="590">
        <f>'CWU i pow.'!N25-OPTI!E23</f>
        <v>460.17000000000007</v>
      </c>
      <c r="F24" s="566"/>
      <c r="G24" s="567"/>
      <c r="H24" s="568"/>
      <c r="I24" s="569">
        <f>E24*C24*0.0036</f>
        <v>165.66120000000001</v>
      </c>
      <c r="J24" s="569"/>
      <c r="K24" s="569">
        <f>I24</f>
        <v>165.66120000000001</v>
      </c>
      <c r="L24" s="571"/>
      <c r="M24" s="571"/>
      <c r="N24" s="569">
        <f>K24</f>
        <v>165.66120000000001</v>
      </c>
      <c r="O24" s="1100"/>
      <c r="P24" s="1100"/>
      <c r="Q24" s="575">
        <f>BILANS!U37</f>
        <v>0.7</v>
      </c>
      <c r="R24" s="1111"/>
    </row>
    <row r="25" spans="1:18">
      <c r="A25" s="546"/>
      <c r="B25" s="546"/>
      <c r="C25" s="546"/>
      <c r="D25" s="546"/>
      <c r="E25" s="546"/>
      <c r="F25" s="576"/>
      <c r="G25" s="576"/>
      <c r="H25" s="577" t="s">
        <v>220</v>
      </c>
      <c r="I25" s="569">
        <f>SUM(I23:I24)</f>
        <v>9017.485200000001</v>
      </c>
      <c r="J25" s="569">
        <f>SUM(J23:J24)</f>
        <v>0</v>
      </c>
      <c r="K25" s="569">
        <f>SUM(K23:K24)*Q21</f>
        <v>7384.6891548360009</v>
      </c>
      <c r="L25" s="571"/>
      <c r="M25" s="571"/>
      <c r="N25" s="569">
        <f>SUM(N23:N24)*Q21</f>
        <v>8535.1830313106548</v>
      </c>
      <c r="O25" s="546"/>
      <c r="P25" s="546"/>
      <c r="Q25" s="578">
        <f>'CWU i pow.'!F15/ZANIECH!Q24*ZANIECH!Q21</f>
        <v>584.01209283236847</v>
      </c>
      <c r="R25" s="546"/>
    </row>
    <row r="26" spans="1:18">
      <c r="A26" s="581"/>
      <c r="B26" s="581"/>
      <c r="C26" s="581"/>
      <c r="D26" s="581"/>
      <c r="E26" s="581"/>
      <c r="F26" s="581"/>
      <c r="G26" s="581"/>
      <c r="H26" s="585"/>
      <c r="I26" s="586"/>
      <c r="J26" s="586"/>
      <c r="K26" s="586"/>
      <c r="L26" s="587"/>
      <c r="M26" s="587"/>
      <c r="N26" s="586"/>
      <c r="O26" s="581"/>
      <c r="P26" s="581"/>
      <c r="Q26" s="588"/>
      <c r="R26" s="581"/>
    </row>
    <row r="27" spans="1:18" ht="18">
      <c r="A27" s="1112">
        <v>2030</v>
      </c>
      <c r="B27" s="1112"/>
      <c r="C27" s="1112"/>
      <c r="D27" s="1112"/>
      <c r="E27" s="1112"/>
      <c r="F27" s="1112"/>
      <c r="G27" s="1112"/>
      <c r="H27" s="1112"/>
      <c r="I27" s="1112"/>
      <c r="J27" s="1112"/>
      <c r="K27" s="1112"/>
      <c r="L27" s="1112"/>
      <c r="M27" s="1112"/>
      <c r="N27" s="1112"/>
      <c r="O27" s="1112"/>
      <c r="P27" s="1112"/>
      <c r="Q27" s="1112"/>
      <c r="R27" s="1112"/>
    </row>
    <row r="28" spans="1:18">
      <c r="A28" s="541" t="s">
        <v>307</v>
      </c>
      <c r="D28" s="542" t="s">
        <v>301</v>
      </c>
      <c r="E28" s="543" t="s">
        <v>309</v>
      </c>
    </row>
    <row r="29" spans="1:18">
      <c r="A29" s="545"/>
      <c r="B29" s="546"/>
      <c r="C29" s="547"/>
      <c r="D29" s="547"/>
      <c r="E29" s="548">
        <f>E31+E32</f>
        <v>327576.03999999998</v>
      </c>
      <c r="F29" s="549"/>
      <c r="G29" s="549"/>
      <c r="H29" s="549"/>
      <c r="I29" s="549"/>
      <c r="J29" s="549"/>
      <c r="K29" s="549"/>
      <c r="L29" s="550" t="s">
        <v>315</v>
      </c>
      <c r="M29" s="550" t="s">
        <v>303</v>
      </c>
      <c r="N29" s="549"/>
      <c r="O29" s="547"/>
      <c r="P29" s="551">
        <f>OPTI!P29</f>
        <v>0.9</v>
      </c>
      <c r="Q29" s="592">
        <f>Q3</f>
        <v>0.8</v>
      </c>
      <c r="R29" s="546"/>
    </row>
    <row r="30" spans="1:18" ht="33.75">
      <c r="A30" s="553"/>
      <c r="B30" s="554" t="s">
        <v>408</v>
      </c>
      <c r="C30" s="553" t="s">
        <v>410</v>
      </c>
      <c r="D30" s="555" t="s">
        <v>308</v>
      </c>
      <c r="E30" s="556" t="s">
        <v>209</v>
      </c>
      <c r="F30" s="557" t="s">
        <v>210</v>
      </c>
      <c r="G30" s="557" t="s">
        <v>211</v>
      </c>
      <c r="H30" s="558" t="s">
        <v>212</v>
      </c>
      <c r="I30" s="559" t="s">
        <v>310</v>
      </c>
      <c r="J30" s="559" t="s">
        <v>311</v>
      </c>
      <c r="K30" s="559" t="s">
        <v>312</v>
      </c>
      <c r="L30" s="1104" t="s">
        <v>314</v>
      </c>
      <c r="M30" s="1105"/>
      <c r="N30" s="559" t="s">
        <v>313</v>
      </c>
      <c r="O30" s="560" t="s">
        <v>316</v>
      </c>
      <c r="P30" s="561" t="s">
        <v>321</v>
      </c>
      <c r="Q30" s="561" t="s">
        <v>323</v>
      </c>
      <c r="R30" s="561" t="s">
        <v>324</v>
      </c>
    </row>
    <row r="31" spans="1:18">
      <c r="A31" s="562" t="s">
        <v>407</v>
      </c>
      <c r="B31" s="563">
        <v>0</v>
      </c>
      <c r="C31" s="584">
        <f>C5</f>
        <v>178.20000000000002</v>
      </c>
      <c r="D31" s="562">
        <v>90</v>
      </c>
      <c r="E31" s="593">
        <f>E5</f>
        <v>270724</v>
      </c>
      <c r="F31" s="566">
        <f>(1-B31)*E31</f>
        <v>270724</v>
      </c>
      <c r="G31" s="567">
        <f>B31*E31</f>
        <v>0</v>
      </c>
      <c r="H31" s="568">
        <f>B31*D31+(1-B31)*C31</f>
        <v>178.20000000000002</v>
      </c>
      <c r="I31" s="569">
        <f>F31*C31*0.0036</f>
        <v>173674.86048</v>
      </c>
      <c r="J31" s="569">
        <f>G31*D31*0.0036</f>
        <v>0</v>
      </c>
      <c r="K31" s="569">
        <f>I31+J31</f>
        <v>173674.86048</v>
      </c>
      <c r="L31" s="570">
        <f>L5</f>
        <v>0.61668550807762579</v>
      </c>
      <c r="M31" s="571">
        <v>0.9</v>
      </c>
      <c r="N31" s="569">
        <f>I31/L31+J31/M31</f>
        <v>281626.30417794501</v>
      </c>
      <c r="O31" s="1099">
        <f>E31/E29*H31+E32/E29*C32</f>
        <v>168.099173553719</v>
      </c>
      <c r="P31" s="1099">
        <f>P29*'CWU i pow.'!C5*Q29</f>
        <v>7745.8305078771373</v>
      </c>
      <c r="Q31" s="572" t="s">
        <v>322</v>
      </c>
      <c r="R31" s="1106">
        <f>N33+P31+Q33</f>
        <v>279936.01591545768</v>
      </c>
    </row>
    <row r="32" spans="1:18">
      <c r="A32" s="562" t="s">
        <v>415</v>
      </c>
      <c r="B32" s="573"/>
      <c r="C32" s="584">
        <f>C6</f>
        <v>120</v>
      </c>
      <c r="D32" s="562"/>
      <c r="E32" s="590">
        <f>OPTI!E32</f>
        <v>56852.039999999979</v>
      </c>
      <c r="F32" s="566"/>
      <c r="G32" s="567"/>
      <c r="H32" s="568"/>
      <c r="I32" s="569">
        <f>E32*C32*0.0036</f>
        <v>24560.081279999988</v>
      </c>
      <c r="J32" s="569"/>
      <c r="K32" s="569">
        <f>I32</f>
        <v>24560.081279999988</v>
      </c>
      <c r="L32" s="571"/>
      <c r="M32" s="571"/>
      <c r="N32" s="569">
        <f>K32</f>
        <v>24560.081279999988</v>
      </c>
      <c r="O32" s="1100"/>
      <c r="P32" s="1100"/>
      <c r="Q32" s="575">
        <f>Q6</f>
        <v>0.7</v>
      </c>
      <c r="R32" s="1107"/>
    </row>
    <row r="33" spans="1:18">
      <c r="A33" s="546"/>
      <c r="B33" s="546"/>
      <c r="C33" s="546"/>
      <c r="D33" s="546"/>
      <c r="E33" s="546"/>
      <c r="F33" s="576"/>
      <c r="G33" s="576"/>
      <c r="H33" s="577" t="s">
        <v>220</v>
      </c>
      <c r="I33" s="569">
        <f>SUM(I31:I32)</f>
        <v>198234.94175999999</v>
      </c>
      <c r="J33" s="569">
        <f>SUM(J31:J32)</f>
        <v>0</v>
      </c>
      <c r="K33" s="569">
        <f>SUM(K31:K32)*Q29</f>
        <v>158587.953408</v>
      </c>
      <c r="L33" s="571"/>
      <c r="M33" s="571"/>
      <c r="N33" s="569">
        <f>SUM(N31:N32)*Q29</f>
        <v>244949.108366356</v>
      </c>
      <c r="O33" s="546"/>
      <c r="P33" s="546"/>
      <c r="Q33" s="578">
        <f>'CWU i pow.'!C29/ZANIECH!Q32*ZANIECH!Q29</f>
        <v>27241.077041224533</v>
      </c>
      <c r="R33" s="546"/>
    </row>
    <row r="34" spans="1:18">
      <c r="A34" s="541" t="s">
        <v>325</v>
      </c>
      <c r="D34" s="579"/>
      <c r="H34" s="580"/>
      <c r="I34" s="581"/>
      <c r="J34" s="582"/>
      <c r="K34" s="581"/>
      <c r="L34" s="581"/>
      <c r="M34" s="581"/>
      <c r="N34" s="581"/>
      <c r="O34" s="581"/>
    </row>
    <row r="35" spans="1:18">
      <c r="A35" s="545"/>
      <c r="B35" s="546"/>
      <c r="C35" s="547"/>
      <c r="D35" s="547"/>
      <c r="E35" s="548">
        <f>'CWU i pow.'!M26</f>
        <v>20172.320000000003</v>
      </c>
      <c r="F35" s="549"/>
      <c r="G35" s="549"/>
      <c r="H35" s="549"/>
      <c r="I35" s="549"/>
      <c r="J35" s="549"/>
      <c r="K35" s="549"/>
      <c r="L35" s="550" t="s">
        <v>315</v>
      </c>
      <c r="M35" s="550" t="s">
        <v>303</v>
      </c>
      <c r="N35" s="549"/>
      <c r="O35" s="547"/>
      <c r="P35" s="551">
        <f>OPTI!P35</f>
        <v>0.8</v>
      </c>
      <c r="Q35" s="546">
        <f>Q9</f>
        <v>0.74580000000000002</v>
      </c>
      <c r="R35" s="546"/>
    </row>
    <row r="36" spans="1:18" ht="33.75">
      <c r="A36" s="553"/>
      <c r="B36" s="554" t="s">
        <v>408</v>
      </c>
      <c r="C36" s="553" t="s">
        <v>410</v>
      </c>
      <c r="D36" s="555" t="s">
        <v>308</v>
      </c>
      <c r="E36" s="556" t="s">
        <v>209</v>
      </c>
      <c r="F36" s="557" t="s">
        <v>210</v>
      </c>
      <c r="G36" s="557" t="s">
        <v>211</v>
      </c>
      <c r="H36" s="558" t="s">
        <v>212</v>
      </c>
      <c r="I36" s="559" t="s">
        <v>310</v>
      </c>
      <c r="J36" s="559" t="s">
        <v>311</v>
      </c>
      <c r="K36" s="559" t="s">
        <v>312</v>
      </c>
      <c r="L36" s="1104" t="s">
        <v>314</v>
      </c>
      <c r="M36" s="1105"/>
      <c r="N36" s="559" t="s">
        <v>313</v>
      </c>
      <c r="O36" s="560" t="s">
        <v>316</v>
      </c>
      <c r="P36" s="561" t="s">
        <v>321</v>
      </c>
      <c r="Q36" s="561" t="s">
        <v>323</v>
      </c>
      <c r="R36" s="561" t="s">
        <v>324</v>
      </c>
    </row>
    <row r="37" spans="1:18">
      <c r="A37" s="562" t="s">
        <v>407</v>
      </c>
      <c r="B37" s="563">
        <v>0</v>
      </c>
      <c r="C37" s="584">
        <f>C11</f>
        <v>121.34823163622232</v>
      </c>
      <c r="D37" s="562">
        <v>90</v>
      </c>
      <c r="E37" s="593">
        <f>BILANS!I13</f>
        <v>18011</v>
      </c>
      <c r="F37" s="566">
        <f>(1-B37)*E37</f>
        <v>18011</v>
      </c>
      <c r="G37" s="567">
        <f>B37*E37</f>
        <v>0</v>
      </c>
      <c r="H37" s="568">
        <f>B37*D37+(1-B37)*C37</f>
        <v>121.34823163622232</v>
      </c>
      <c r="I37" s="569">
        <f>F37*C37*0.0036</f>
        <v>7868.1708000000017</v>
      </c>
      <c r="J37" s="569">
        <f>G37*D37*0.0036</f>
        <v>0</v>
      </c>
      <c r="K37" s="569">
        <f>I37+J37</f>
        <v>7868.1708000000017</v>
      </c>
      <c r="L37" s="570">
        <f>L11</f>
        <v>0.87778490681720411</v>
      </c>
      <c r="M37" s="571">
        <v>0.9</v>
      </c>
      <c r="N37" s="569">
        <f>I37/L37+J37/M37</f>
        <v>8963.6660859543845</v>
      </c>
      <c r="O37" s="1099">
        <f>E37/E35*H37+E38/E35*C38</f>
        <v>120.1323496751985</v>
      </c>
      <c r="P37" s="1099">
        <f>P35*'CWU i pow.'!D5*Q35</f>
        <v>510.80468265128673</v>
      </c>
      <c r="Q37" s="572" t="s">
        <v>322</v>
      </c>
      <c r="R37" s="1108">
        <f>N39+P37+Q39</f>
        <v>9989.9444291430791</v>
      </c>
    </row>
    <row r="38" spans="1:18">
      <c r="A38" s="562" t="s">
        <v>409</v>
      </c>
      <c r="B38" s="573"/>
      <c r="C38" s="584">
        <f>C12</f>
        <v>110</v>
      </c>
      <c r="D38" s="562"/>
      <c r="E38" s="590">
        <f>E35-E37</f>
        <v>2161.3200000000033</v>
      </c>
      <c r="F38" s="566"/>
      <c r="G38" s="567"/>
      <c r="H38" s="568"/>
      <c r="I38" s="569">
        <f>E38*C38*0.0036</f>
        <v>855.88272000000131</v>
      </c>
      <c r="J38" s="569"/>
      <c r="K38" s="569">
        <f>I38</f>
        <v>855.88272000000131</v>
      </c>
      <c r="L38" s="571"/>
      <c r="M38" s="571"/>
      <c r="N38" s="569">
        <f>K38</f>
        <v>855.88272000000131</v>
      </c>
      <c r="O38" s="1100"/>
      <c r="P38" s="1100"/>
      <c r="Q38" s="575">
        <f>Q12</f>
        <v>0.9</v>
      </c>
      <c r="R38" s="1109"/>
    </row>
    <row r="39" spans="1:18">
      <c r="A39" s="546"/>
      <c r="B39" s="546"/>
      <c r="C39" s="546"/>
      <c r="D39" s="546"/>
      <c r="E39" s="546"/>
      <c r="F39" s="576"/>
      <c r="G39" s="576"/>
      <c r="H39" s="577" t="s">
        <v>220</v>
      </c>
      <c r="I39" s="569">
        <f>SUM(I37:I38)</f>
        <v>8724.0535200000031</v>
      </c>
      <c r="J39" s="569">
        <f>SUM(J37:J38)</f>
        <v>0</v>
      </c>
      <c r="K39" s="569">
        <f>SUM(K37:K38)*Q35</f>
        <v>6506.3991152160024</v>
      </c>
      <c r="L39" s="571"/>
      <c r="M39" s="571"/>
      <c r="N39" s="569">
        <f>SUM(N37:N38)*Q35</f>
        <v>7323.4194994807813</v>
      </c>
      <c r="O39" s="546"/>
      <c r="P39" s="546"/>
      <c r="Q39" s="578">
        <f>'CWU i pow.'!D29/ZANIECH!Q38*Q35</f>
        <v>2155.7202470110119</v>
      </c>
      <c r="R39" s="546"/>
    </row>
    <row r="40" spans="1:18">
      <c r="A40" s="541" t="s">
        <v>326</v>
      </c>
      <c r="B40" s="581"/>
      <c r="C40" s="581"/>
      <c r="D40" s="581"/>
      <c r="E40" s="581"/>
      <c r="F40" s="581"/>
      <c r="G40" s="581"/>
      <c r="H40" s="585"/>
      <c r="I40" s="586"/>
      <c r="J40" s="586"/>
      <c r="K40" s="586"/>
      <c r="L40" s="587"/>
      <c r="M40" s="587"/>
      <c r="N40" s="586"/>
      <c r="O40" s="581"/>
      <c r="P40" s="581"/>
      <c r="Q40" s="588"/>
      <c r="R40" s="581"/>
    </row>
    <row r="41" spans="1:18">
      <c r="A41" s="545"/>
      <c r="B41" s="546"/>
      <c r="C41" s="547"/>
      <c r="D41" s="547"/>
      <c r="E41" s="548">
        <f>E43+E44</f>
        <v>158457.9</v>
      </c>
      <c r="F41" s="549"/>
      <c r="G41" s="549"/>
      <c r="H41" s="549"/>
      <c r="I41" s="549"/>
      <c r="J41" s="549"/>
      <c r="K41" s="549"/>
      <c r="L41" s="550" t="s">
        <v>315</v>
      </c>
      <c r="M41" s="550" t="s">
        <v>303</v>
      </c>
      <c r="N41" s="549"/>
      <c r="O41" s="547"/>
      <c r="P41" s="551">
        <f>OPTI!P41</f>
        <v>0.8</v>
      </c>
      <c r="Q41" s="592">
        <f>Q15</f>
        <v>0.8</v>
      </c>
      <c r="R41" s="546"/>
    </row>
    <row r="42" spans="1:18" ht="33.75">
      <c r="A42" s="553"/>
      <c r="B42" s="554" t="s">
        <v>408</v>
      </c>
      <c r="C42" s="553" t="s">
        <v>410</v>
      </c>
      <c r="D42" s="555" t="s">
        <v>308</v>
      </c>
      <c r="E42" s="556" t="s">
        <v>209</v>
      </c>
      <c r="F42" s="557" t="s">
        <v>210</v>
      </c>
      <c r="G42" s="557" t="s">
        <v>211</v>
      </c>
      <c r="H42" s="558" t="s">
        <v>212</v>
      </c>
      <c r="I42" s="559" t="s">
        <v>310</v>
      </c>
      <c r="J42" s="559" t="s">
        <v>311</v>
      </c>
      <c r="K42" s="559" t="s">
        <v>312</v>
      </c>
      <c r="L42" s="1104" t="s">
        <v>314</v>
      </c>
      <c r="M42" s="1105"/>
      <c r="N42" s="559" t="s">
        <v>313</v>
      </c>
      <c r="O42" s="560" t="s">
        <v>316</v>
      </c>
      <c r="P42" s="561" t="s">
        <v>321</v>
      </c>
      <c r="Q42" s="561" t="s">
        <v>323</v>
      </c>
      <c r="R42" s="561" t="s">
        <v>324</v>
      </c>
    </row>
    <row r="43" spans="1:18">
      <c r="A43" s="594" t="s">
        <v>407</v>
      </c>
      <c r="B43" s="563">
        <v>0</v>
      </c>
      <c r="C43" s="584">
        <f>C17</f>
        <v>129.36287500000003</v>
      </c>
      <c r="D43" s="562">
        <v>90</v>
      </c>
      <c r="E43" s="593">
        <f>BILANS!I24</f>
        <v>124770</v>
      </c>
      <c r="F43" s="566">
        <f>(1-B43)*E43</f>
        <v>124770</v>
      </c>
      <c r="G43" s="567">
        <f>B43*E43</f>
        <v>0</v>
      </c>
      <c r="H43" s="568">
        <f>B43*D43+(1-B43)*C43</f>
        <v>129.36287500000003</v>
      </c>
      <c r="I43" s="569">
        <f>F43*C43*0.0036</f>
        <v>58106.181289500011</v>
      </c>
      <c r="J43" s="569">
        <f>G43*D43*0.0036</f>
        <v>0</v>
      </c>
      <c r="K43" s="569">
        <f>I43+J43</f>
        <v>58106.181289500011</v>
      </c>
      <c r="L43" s="570">
        <f>L17</f>
        <v>0.67163743331471515</v>
      </c>
      <c r="M43" s="571">
        <v>0.9</v>
      </c>
      <c r="N43" s="569">
        <f>I43/L43+J43/M43</f>
        <v>86514.209017103247</v>
      </c>
      <c r="O43" s="1099">
        <f>E43/E41*H43+E44/E41*C44</f>
        <v>125.24635826771656</v>
      </c>
      <c r="P43" s="1099"/>
      <c r="Q43" s="572" t="s">
        <v>322</v>
      </c>
      <c r="R43" s="1101">
        <f>N45+P43+Q45</f>
        <v>81324.17331884164</v>
      </c>
    </row>
    <row r="44" spans="1:18">
      <c r="A44" s="594" t="s">
        <v>409</v>
      </c>
      <c r="B44" s="573"/>
      <c r="C44" s="584">
        <f>C18</f>
        <v>110</v>
      </c>
      <c r="D44" s="562"/>
      <c r="E44" s="590">
        <f>OPTI!E44</f>
        <v>33687.899999999994</v>
      </c>
      <c r="F44" s="566"/>
      <c r="G44" s="567"/>
      <c r="H44" s="568"/>
      <c r="I44" s="569">
        <f>E44*C44*0.0036</f>
        <v>13340.408399999998</v>
      </c>
      <c r="J44" s="569"/>
      <c r="K44" s="569">
        <f>I44</f>
        <v>13340.408399999998</v>
      </c>
      <c r="L44" s="571"/>
      <c r="M44" s="571"/>
      <c r="N44" s="569">
        <f>K44</f>
        <v>13340.408399999998</v>
      </c>
      <c r="O44" s="1100"/>
      <c r="P44" s="1100"/>
      <c r="Q44" s="575">
        <f>Q18</f>
        <v>0.7</v>
      </c>
      <c r="R44" s="1102"/>
    </row>
    <row r="45" spans="1:18">
      <c r="A45" s="546"/>
      <c r="B45" s="546"/>
      <c r="C45" s="546"/>
      <c r="D45" s="546"/>
      <c r="E45" s="546"/>
      <c r="F45" s="576"/>
      <c r="G45" s="576"/>
      <c r="H45" s="577" t="s">
        <v>220</v>
      </c>
      <c r="I45" s="569">
        <f>SUM(I43:I44)</f>
        <v>71446.589689500004</v>
      </c>
      <c r="J45" s="569">
        <f>SUM(J43:J44)</f>
        <v>0</v>
      </c>
      <c r="K45" s="569">
        <f>SUM(K43:K44)*Q41</f>
        <v>57157.271751600005</v>
      </c>
      <c r="L45" s="571"/>
      <c r="M45" s="571"/>
      <c r="N45" s="569">
        <f>SUM(N43:N44)*Q41</f>
        <v>79883.693933682604</v>
      </c>
      <c r="O45" s="546"/>
      <c r="P45" s="546"/>
      <c r="Q45" s="578">
        <f>'CWU i pow.'!E29/Q44*Q41</f>
        <v>1440.4793851590316</v>
      </c>
      <c r="R45" s="546"/>
    </row>
    <row r="46" spans="1:18">
      <c r="A46" s="541" t="s">
        <v>414</v>
      </c>
      <c r="B46" s="581"/>
      <c r="C46" s="581"/>
      <c r="D46" s="581"/>
      <c r="E46" s="581"/>
      <c r="F46" s="581"/>
      <c r="G46" s="581"/>
      <c r="H46" s="585"/>
      <c r="I46" s="586"/>
      <c r="J46" s="586"/>
      <c r="K46" s="586"/>
      <c r="L46" s="587"/>
      <c r="M46" s="587"/>
      <c r="N46" s="586"/>
      <c r="O46" s="581"/>
      <c r="P46" s="581"/>
      <c r="Q46" s="588"/>
      <c r="R46" s="581"/>
    </row>
    <row r="47" spans="1:18">
      <c r="A47" s="545"/>
      <c r="B47" s="546"/>
      <c r="C47" s="547"/>
      <c r="D47" s="547"/>
      <c r="E47" s="548">
        <f>E49+E50</f>
        <v>16259.34</v>
      </c>
      <c r="F47" s="549"/>
      <c r="G47" s="549"/>
      <c r="H47" s="549"/>
      <c r="I47" s="549"/>
      <c r="J47" s="549"/>
      <c r="K47" s="549"/>
      <c r="L47" s="550" t="s">
        <v>315</v>
      </c>
      <c r="M47" s="550" t="s">
        <v>303</v>
      </c>
      <c r="N47" s="549"/>
      <c r="O47" s="547"/>
      <c r="P47" s="551">
        <f>OPTI!P47</f>
        <v>0.8</v>
      </c>
      <c r="Q47" s="592">
        <f>Q21</f>
        <v>0.81893000000000005</v>
      </c>
      <c r="R47" s="546"/>
    </row>
    <row r="48" spans="1:18" ht="33.75">
      <c r="A48" s="553"/>
      <c r="B48" s="554" t="s">
        <v>408</v>
      </c>
      <c r="C48" s="553" t="s">
        <v>410</v>
      </c>
      <c r="D48" s="555" t="s">
        <v>308</v>
      </c>
      <c r="E48" s="556" t="s">
        <v>209</v>
      </c>
      <c r="F48" s="557" t="s">
        <v>210</v>
      </c>
      <c r="G48" s="557" t="s">
        <v>211</v>
      </c>
      <c r="H48" s="558" t="s">
        <v>212</v>
      </c>
      <c r="I48" s="559" t="s">
        <v>310</v>
      </c>
      <c r="J48" s="559" t="s">
        <v>311</v>
      </c>
      <c r="K48" s="559" t="s">
        <v>312</v>
      </c>
      <c r="L48" s="1104" t="s">
        <v>314</v>
      </c>
      <c r="M48" s="1105"/>
      <c r="N48" s="559" t="s">
        <v>313</v>
      </c>
      <c r="O48" s="560" t="s">
        <v>316</v>
      </c>
      <c r="P48" s="561" t="s">
        <v>321</v>
      </c>
      <c r="Q48" s="561" t="s">
        <v>323</v>
      </c>
      <c r="R48" s="561" t="s">
        <v>324</v>
      </c>
    </row>
    <row r="49" spans="1:20">
      <c r="A49" s="562" t="s">
        <v>407</v>
      </c>
      <c r="B49" s="563">
        <v>0</v>
      </c>
      <c r="C49" s="584">
        <f>C23</f>
        <v>160.29988917139318</v>
      </c>
      <c r="D49" s="562">
        <v>90</v>
      </c>
      <c r="E49" s="593">
        <f>BILANS!I34</f>
        <v>15339</v>
      </c>
      <c r="F49" s="566">
        <f>(1-B49)*E49</f>
        <v>15339</v>
      </c>
      <c r="G49" s="567">
        <f>B49*E49</f>
        <v>0</v>
      </c>
      <c r="H49" s="568">
        <f>B49*D49+(1-B49)*C49</f>
        <v>160.29988917139318</v>
      </c>
      <c r="I49" s="569">
        <f>F49*C49*0.0036</f>
        <v>8851.8240000000005</v>
      </c>
      <c r="J49" s="569">
        <f>G49*D49*0.0036</f>
        <v>0</v>
      </c>
      <c r="K49" s="569">
        <f>I49+J49</f>
        <v>8851.8240000000005</v>
      </c>
      <c r="L49" s="570">
        <f>L23</f>
        <v>0.86302858543540462</v>
      </c>
      <c r="M49" s="571">
        <v>0.9</v>
      </c>
      <c r="N49" s="569">
        <f>I49/L49+J49/M49</f>
        <v>10256.698502673798</v>
      </c>
      <c r="O49" s="1099">
        <f>E49/E47*H49+E50/E47*C50</f>
        <v>156.88668789754072</v>
      </c>
      <c r="P49" s="1099"/>
      <c r="Q49" s="572" t="s">
        <v>322</v>
      </c>
      <c r="R49" s="1101">
        <f>N51+P49+Q51</f>
        <v>9254.8600506590228</v>
      </c>
    </row>
    <row r="50" spans="1:20">
      <c r="A50" s="562" t="s">
        <v>409</v>
      </c>
      <c r="B50" s="573"/>
      <c r="C50" s="584">
        <f>C24</f>
        <v>100</v>
      </c>
      <c r="D50" s="562"/>
      <c r="E50" s="590">
        <f>OPTI!E50</f>
        <v>920.34000000000015</v>
      </c>
      <c r="F50" s="566"/>
      <c r="G50" s="567"/>
      <c r="H50" s="568"/>
      <c r="I50" s="569">
        <f>E50*C50*0.0036</f>
        <v>331.32240000000002</v>
      </c>
      <c r="J50" s="569"/>
      <c r="K50" s="569">
        <f>I50</f>
        <v>331.32240000000002</v>
      </c>
      <c r="L50" s="571"/>
      <c r="M50" s="571"/>
      <c r="N50" s="569">
        <f>K50</f>
        <v>331.32240000000002</v>
      </c>
      <c r="O50" s="1100"/>
      <c r="P50" s="1100"/>
      <c r="Q50" s="575">
        <f>Q24</f>
        <v>0.7</v>
      </c>
      <c r="R50" s="1102"/>
    </row>
    <row r="51" spans="1:20">
      <c r="A51" s="546"/>
      <c r="B51" s="546"/>
      <c r="C51" s="546"/>
      <c r="D51" s="546"/>
      <c r="E51" s="546"/>
      <c r="F51" s="576"/>
      <c r="G51" s="576"/>
      <c r="H51" s="577" t="s">
        <v>220</v>
      </c>
      <c r="I51" s="569">
        <f>SUM(I49:I50)</f>
        <v>9183.1464000000014</v>
      </c>
      <c r="J51" s="569">
        <f>SUM(J49:J50)</f>
        <v>0</v>
      </c>
      <c r="K51" s="569">
        <f>SUM(K49:K50)*Q47</f>
        <v>7520.3540813520012</v>
      </c>
      <c r="L51" s="571"/>
      <c r="M51" s="571"/>
      <c r="N51" s="569">
        <f>SUM(N49:N50)*Q47</f>
        <v>8670.8479578266542</v>
      </c>
      <c r="O51" s="546"/>
      <c r="P51" s="546"/>
      <c r="Q51" s="578">
        <f>'CWU i pow.'!F29/ZANIECH!Q50*ZANIECH!Q47</f>
        <v>584.01209283236847</v>
      </c>
      <c r="R51" s="546"/>
    </row>
    <row r="52" spans="1:20">
      <c r="A52" s="595"/>
      <c r="B52" s="596"/>
      <c r="C52" s="595"/>
      <c r="D52" s="595"/>
      <c r="E52" s="597"/>
      <c r="F52" s="598"/>
      <c r="G52" s="586"/>
      <c r="H52" s="580"/>
      <c r="I52" s="586"/>
      <c r="J52" s="586"/>
      <c r="K52" s="599"/>
      <c r="L52" s="587"/>
      <c r="M52" s="587"/>
      <c r="N52" s="586"/>
      <c r="O52" s="588"/>
      <c r="P52" s="588"/>
      <c r="Q52" s="588"/>
      <c r="R52" s="600"/>
    </row>
    <row r="53" spans="1:20">
      <c r="A53" s="601"/>
      <c r="B53" s="581"/>
      <c r="C53" s="581"/>
      <c r="D53" s="581"/>
      <c r="E53" s="581"/>
      <c r="F53" s="581"/>
      <c r="G53" s="581"/>
      <c r="H53" s="585"/>
      <c r="I53" s="586"/>
      <c r="J53" s="586"/>
      <c r="K53" s="586"/>
      <c r="L53" s="587"/>
      <c r="M53" s="587"/>
      <c r="N53" s="586"/>
      <c r="O53" s="581"/>
      <c r="P53" s="581"/>
      <c r="Q53" s="581"/>
      <c r="R53" s="581"/>
    </row>
    <row r="54" spans="1:20" ht="18">
      <c r="A54" s="1103" t="s">
        <v>425</v>
      </c>
      <c r="B54" s="1103"/>
      <c r="C54" s="1103"/>
      <c r="D54" s="1103"/>
      <c r="E54" s="1103"/>
      <c r="F54" s="1103"/>
      <c r="G54" s="1103"/>
      <c r="H54" s="1103"/>
      <c r="I54" s="1103"/>
      <c r="J54" s="1103"/>
      <c r="K54" s="1103"/>
      <c r="L54" s="1103"/>
      <c r="M54" s="1103"/>
      <c r="N54" s="1103"/>
      <c r="O54" s="1103"/>
      <c r="P54" s="1103"/>
      <c r="Q54" s="1103"/>
      <c r="R54" s="1103"/>
    </row>
    <row r="55" spans="1:20">
      <c r="A55" s="602" t="s">
        <v>50</v>
      </c>
      <c r="B55" s="581"/>
      <c r="C55" s="603"/>
      <c r="D55" s="603"/>
      <c r="E55" s="604"/>
      <c r="F55" s="603"/>
      <c r="G55" s="603"/>
      <c r="H55" s="603"/>
      <c r="P55" s="605"/>
      <c r="Q55" s="581"/>
      <c r="R55" s="581"/>
      <c r="S55" s="581"/>
    </row>
    <row r="56" spans="1:20">
      <c r="A56" s="720"/>
      <c r="B56" s="720" t="s">
        <v>420</v>
      </c>
      <c r="C56" s="720">
        <v>2013</v>
      </c>
      <c r="D56" s="720">
        <v>2020</v>
      </c>
      <c r="E56" s="720"/>
      <c r="F56" s="720">
        <v>2030</v>
      </c>
      <c r="G56" s="720"/>
      <c r="H56" s="606"/>
      <c r="K56" s="720" t="s">
        <v>484</v>
      </c>
      <c r="L56" s="720">
        <v>2017</v>
      </c>
      <c r="M56" s="720">
        <v>2022</v>
      </c>
      <c r="N56" s="720" t="s">
        <v>485</v>
      </c>
      <c r="O56" s="720">
        <v>2033</v>
      </c>
      <c r="P56" s="720" t="s">
        <v>485</v>
      </c>
      <c r="Q56" s="607"/>
      <c r="R56" s="607"/>
      <c r="S56" s="581"/>
    </row>
    <row r="57" spans="1:20" ht="24">
      <c r="A57" s="720">
        <v>1</v>
      </c>
      <c r="B57" s="720">
        <v>2</v>
      </c>
      <c r="C57" s="720">
        <v>3</v>
      </c>
      <c r="D57" s="720">
        <v>4</v>
      </c>
      <c r="E57" s="720" t="s">
        <v>421</v>
      </c>
      <c r="F57" s="721">
        <v>6</v>
      </c>
      <c r="G57" s="720" t="s">
        <v>422</v>
      </c>
      <c r="H57" s="580"/>
      <c r="K57" s="729" t="s">
        <v>486</v>
      </c>
      <c r="L57" s="615">
        <f>C59</f>
        <v>259454.04284935602</v>
      </c>
      <c r="M57" s="615">
        <f>D59</f>
        <v>265314.2999604824</v>
      </c>
      <c r="N57" s="614">
        <f>-(L57-M57)/L57</f>
        <v>2.2586879151191178E-2</v>
      </c>
      <c r="O57" s="615">
        <f>F59</f>
        <v>279936.01591545768</v>
      </c>
      <c r="P57" s="614">
        <f>-(L57-O57)/L57</f>
        <v>7.8942585905257573E-2</v>
      </c>
      <c r="Q57" s="608"/>
      <c r="R57" s="600"/>
      <c r="S57" s="581"/>
    </row>
    <row r="58" spans="1:20" ht="36">
      <c r="A58" s="713" t="s">
        <v>499</v>
      </c>
      <c r="B58" s="722" t="s">
        <v>423</v>
      </c>
      <c r="C58" s="723">
        <f>OPTI!B56</f>
        <v>138939.88838399999</v>
      </c>
      <c r="D58" s="723">
        <f>K7</f>
        <v>144553.62124800001</v>
      </c>
      <c r="E58" s="724">
        <f>-(C58-D58)/C58</f>
        <v>4.0404040404040546E-2</v>
      </c>
      <c r="F58" s="723">
        <f>K33</f>
        <v>158587.953408</v>
      </c>
      <c r="G58" s="724">
        <f>-(C58-F58)/C58</f>
        <v>0.14141414141414149</v>
      </c>
      <c r="H58" s="609"/>
      <c r="K58" s="729" t="s">
        <v>487</v>
      </c>
      <c r="L58" s="615">
        <f>C67</f>
        <v>9286.3679931847782</v>
      </c>
      <c r="M58" s="615">
        <f>D67</f>
        <v>9449.3842252540089</v>
      </c>
      <c r="N58" s="614">
        <f>-(L58-M58)/L58</f>
        <v>1.7554358408892211E-2</v>
      </c>
      <c r="O58" s="615">
        <f>F67</f>
        <v>9989.9444291430791</v>
      </c>
      <c r="P58" s="614">
        <f>-(L58-O58)/L58</f>
        <v>7.5764436265572541E-2</v>
      </c>
      <c r="Q58" s="610"/>
      <c r="R58" s="600"/>
      <c r="S58" s="581"/>
    </row>
    <row r="59" spans="1:20" ht="36">
      <c r="A59" s="713" t="s">
        <v>500</v>
      </c>
      <c r="B59" s="722" t="s">
        <v>423</v>
      </c>
      <c r="C59" s="723">
        <f>OPTI!B57</f>
        <v>259454.04284935602</v>
      </c>
      <c r="D59" s="723">
        <f>R5</f>
        <v>265314.2999604824</v>
      </c>
      <c r="E59" s="724">
        <f t="shared" ref="E59:E61" si="0">-(C59-D59)/C59</f>
        <v>2.2586879151191178E-2</v>
      </c>
      <c r="F59" s="723">
        <f>R31</f>
        <v>279936.01591545768</v>
      </c>
      <c r="G59" s="724">
        <f t="shared" ref="G59:G61" si="1">-(C59-F59)/C59</f>
        <v>7.8942585905257573E-2</v>
      </c>
      <c r="H59" s="611"/>
      <c r="K59" s="729" t="s">
        <v>488</v>
      </c>
      <c r="L59" s="615">
        <f>C83</f>
        <v>8754.095789476678</v>
      </c>
      <c r="M59" s="615">
        <f>D83</f>
        <v>9119.1951241430233</v>
      </c>
      <c r="N59" s="614">
        <f t="shared" ref="N59:N61" si="2">-(L59-M59)/L59</f>
        <v>4.1706116022311779E-2</v>
      </c>
      <c r="O59" s="615">
        <f>F83</f>
        <v>9254.8600506590228</v>
      </c>
      <c r="P59" s="614">
        <f t="shared" ref="P59:P61" si="3">-(L59-O59)/L59</f>
        <v>5.7203424913891722E-2</v>
      </c>
      <c r="Q59" s="588"/>
      <c r="R59" s="600"/>
      <c r="S59" s="581"/>
    </row>
    <row r="60" spans="1:20" ht="36">
      <c r="A60" s="713" t="s">
        <v>502</v>
      </c>
      <c r="B60" s="722" t="s">
        <v>491</v>
      </c>
      <c r="C60" s="723">
        <f>OPTI!B58</f>
        <v>178.20000000000002</v>
      </c>
      <c r="D60" s="725">
        <f>O5</f>
        <v>174.90566037735852</v>
      </c>
      <c r="E60" s="724">
        <f t="shared" si="0"/>
        <v>-1.8486754335810894E-2</v>
      </c>
      <c r="F60" s="725">
        <f>O31</f>
        <v>168.099173553719</v>
      </c>
      <c r="G60" s="724">
        <f t="shared" si="1"/>
        <v>-5.6682527756908067E-2</v>
      </c>
      <c r="H60" s="580">
        <f>1500000/210</f>
        <v>7142.8571428571431</v>
      </c>
      <c r="K60" s="729" t="s">
        <v>489</v>
      </c>
      <c r="L60" s="615">
        <f>C75</f>
        <v>70210.880460539745</v>
      </c>
      <c r="M60" s="615">
        <f>D75</f>
        <v>73782.957244088146</v>
      </c>
      <c r="N60" s="614">
        <f t="shared" si="2"/>
        <v>5.0876399215019047E-2</v>
      </c>
      <c r="O60" s="615">
        <f>F75</f>
        <v>81324.17331884164</v>
      </c>
      <c r="P60" s="614">
        <f t="shared" si="3"/>
        <v>0.15828448219714095</v>
      </c>
      <c r="Q60" s="588"/>
      <c r="R60" s="600"/>
      <c r="S60" s="585"/>
    </row>
    <row r="61" spans="1:20" ht="15">
      <c r="A61" s="713" t="s">
        <v>501</v>
      </c>
      <c r="B61" s="722" t="s">
        <v>424</v>
      </c>
      <c r="C61" s="723">
        <f>OPTI!B59</f>
        <v>36.323565998909842</v>
      </c>
      <c r="D61" s="726">
        <f>D59/$H$60</f>
        <v>37.144001994467537</v>
      </c>
      <c r="E61" s="724">
        <f t="shared" si="0"/>
        <v>2.2586879151191213E-2</v>
      </c>
      <c r="F61" s="726">
        <f>F59/$H$60</f>
        <v>39.191042228164072</v>
      </c>
      <c r="G61" s="724">
        <f t="shared" si="1"/>
        <v>7.8942585905257476E-2</v>
      </c>
      <c r="H61" s="580"/>
      <c r="K61" s="729" t="s">
        <v>405</v>
      </c>
      <c r="L61" s="615">
        <f>SUM(L57:L60)</f>
        <v>347705.38709255727</v>
      </c>
      <c r="M61" s="615">
        <f>SUM(M57:M60)</f>
        <v>357665.83655396756</v>
      </c>
      <c r="N61" s="614">
        <f t="shared" si="2"/>
        <v>2.8646232791207434E-2</v>
      </c>
      <c r="O61" s="615">
        <f>SUM(O57:O60)</f>
        <v>380504.9937141015</v>
      </c>
      <c r="P61" s="614">
        <f t="shared" si="3"/>
        <v>9.4331603245517592E-2</v>
      </c>
      <c r="Q61" s="588"/>
      <c r="R61" s="600"/>
      <c r="S61" s="585"/>
      <c r="T61" s="612"/>
    </row>
    <row r="62" spans="1:20">
      <c r="A62" s="596"/>
      <c r="B62" s="595"/>
      <c r="C62" s="595"/>
      <c r="D62" s="581"/>
      <c r="E62" s="581"/>
      <c r="F62" s="581"/>
      <c r="H62" s="585"/>
      <c r="I62" s="586"/>
      <c r="J62" s="586"/>
      <c r="K62" s="586"/>
      <c r="L62" s="587"/>
      <c r="M62" s="587"/>
      <c r="N62" s="586"/>
      <c r="O62" s="581"/>
      <c r="P62" s="581"/>
      <c r="Q62" s="581"/>
      <c r="R62" s="581"/>
      <c r="S62" s="585"/>
      <c r="T62" s="613"/>
    </row>
    <row r="63" spans="1:20">
      <c r="A63" s="602" t="s">
        <v>29</v>
      </c>
      <c r="B63" s="603"/>
      <c r="C63" s="595"/>
      <c r="D63" s="608"/>
      <c r="E63" s="608"/>
      <c r="F63" s="603"/>
      <c r="G63" s="603"/>
      <c r="H63" s="581"/>
      <c r="I63" s="581"/>
      <c r="J63" s="581"/>
      <c r="K63" s="581"/>
      <c r="L63" s="581"/>
      <c r="M63" s="581"/>
      <c r="N63" s="581"/>
      <c r="O63" s="581"/>
      <c r="P63" s="581"/>
      <c r="Q63" s="581"/>
      <c r="R63" s="581"/>
      <c r="S63" s="585"/>
      <c r="T63" s="612"/>
    </row>
    <row r="64" spans="1:20">
      <c r="A64" s="720"/>
      <c r="B64" s="720" t="s">
        <v>420</v>
      </c>
      <c r="C64" s="720">
        <v>2013</v>
      </c>
      <c r="D64" s="1097">
        <v>2020</v>
      </c>
      <c r="E64" s="1097"/>
      <c r="F64" s="1097">
        <v>2030</v>
      </c>
      <c r="G64" s="1097"/>
      <c r="H64" s="581"/>
      <c r="I64" s="581"/>
      <c r="J64" s="581"/>
      <c r="K64" s="581"/>
      <c r="L64" s="581"/>
      <c r="M64" s="581"/>
      <c r="N64" s="581"/>
      <c r="O64" s="581"/>
      <c r="P64" s="581"/>
      <c r="Q64" s="581"/>
      <c r="R64" s="581"/>
      <c r="S64" s="585"/>
      <c r="T64" s="621"/>
    </row>
    <row r="65" spans="1:18">
      <c r="A65" s="720">
        <v>1</v>
      </c>
      <c r="B65" s="720">
        <v>2</v>
      </c>
      <c r="C65" s="720">
        <v>3</v>
      </c>
      <c r="D65" s="720">
        <v>4</v>
      </c>
      <c r="E65" s="720" t="s">
        <v>421</v>
      </c>
      <c r="F65" s="721">
        <v>6</v>
      </c>
      <c r="G65" s="720" t="s">
        <v>422</v>
      </c>
      <c r="H65" s="581"/>
      <c r="I65" s="581"/>
      <c r="J65" s="581"/>
      <c r="K65" s="581"/>
      <c r="L65" s="581"/>
      <c r="M65" s="581"/>
      <c r="N65" s="581"/>
      <c r="O65" s="581"/>
      <c r="P65" s="581"/>
      <c r="Q65" s="581"/>
      <c r="R65" s="581"/>
    </row>
    <row r="66" spans="1:18">
      <c r="A66" s="713" t="s">
        <v>499</v>
      </c>
      <c r="B66" s="722" t="s">
        <v>423</v>
      </c>
      <c r="C66" s="723">
        <f>OPTI!B63</f>
        <v>5868.0817826399998</v>
      </c>
      <c r="D66" s="723">
        <f>K13</f>
        <v>6001.0645602600007</v>
      </c>
      <c r="E66" s="724">
        <f>-(C66-D66)/C66</f>
        <v>2.2662052531955863E-2</v>
      </c>
      <c r="F66" s="723">
        <f>K39</f>
        <v>6506.3991152160024</v>
      </c>
      <c r="G66" s="724">
        <f>-(C66-F66)/C66</f>
        <v>0.10877785215338787</v>
      </c>
      <c r="H66" s="609">
        <f>D66/D67</f>
        <v>0.63507466912201738</v>
      </c>
      <c r="I66" s="581"/>
      <c r="J66" s="581"/>
      <c r="K66" s="581"/>
      <c r="L66" s="581"/>
      <c r="M66" s="581"/>
      <c r="N66" s="581"/>
      <c r="O66" s="581"/>
      <c r="P66" s="581"/>
      <c r="Q66" s="581"/>
      <c r="R66" s="581"/>
    </row>
    <row r="67" spans="1:18">
      <c r="A67" s="713" t="s">
        <v>500</v>
      </c>
      <c r="B67" s="722" t="s">
        <v>423</v>
      </c>
      <c r="C67" s="723">
        <f>OPTI!B64</f>
        <v>9286.3679931847782</v>
      </c>
      <c r="D67" s="723">
        <f>R11</f>
        <v>9449.3842252540089</v>
      </c>
      <c r="E67" s="727">
        <f t="shared" ref="E67:E69" si="4">-(C67-D67)/C67</f>
        <v>1.7554358408892211E-2</v>
      </c>
      <c r="F67" s="723">
        <f>R37</f>
        <v>9989.9444291430791</v>
      </c>
      <c r="G67" s="724">
        <f t="shared" ref="G67:G69" si="5">-(C67-F67)/C67</f>
        <v>7.5764436265572541E-2</v>
      </c>
      <c r="H67" s="581"/>
      <c r="I67" s="581"/>
      <c r="J67" s="581"/>
      <c r="K67" s="581"/>
      <c r="L67" s="581"/>
      <c r="M67" s="581"/>
      <c r="N67" s="581"/>
      <c r="O67" s="581"/>
      <c r="P67" s="581"/>
      <c r="Q67" s="581"/>
      <c r="R67" s="581"/>
    </row>
    <row r="68" spans="1:18" ht="27">
      <c r="A68" s="713" t="s">
        <v>502</v>
      </c>
      <c r="B68" s="722" t="s">
        <v>491</v>
      </c>
      <c r="C68" s="723">
        <f>OPTI!B65</f>
        <v>121.34823163622232</v>
      </c>
      <c r="D68" s="725">
        <f>O11</f>
        <v>121.07144549875349</v>
      </c>
      <c r="E68" s="724">
        <f t="shared" si="4"/>
        <v>-2.2809243590675606E-3</v>
      </c>
      <c r="F68" s="725">
        <f>O37</f>
        <v>120.1323496751985</v>
      </c>
      <c r="G68" s="724">
        <f t="shared" si="5"/>
        <v>-1.0019774863047002E-2</v>
      </c>
      <c r="H68" s="581"/>
      <c r="I68" s="581"/>
      <c r="J68" s="581"/>
      <c r="K68" s="581"/>
      <c r="L68" s="581"/>
      <c r="M68" s="581"/>
      <c r="N68" s="581"/>
      <c r="O68" s="581"/>
      <c r="P68" s="581"/>
      <c r="Q68" s="581"/>
      <c r="R68" s="581"/>
    </row>
    <row r="69" spans="1:18">
      <c r="A69" s="713" t="s">
        <v>501</v>
      </c>
      <c r="B69" s="722" t="s">
        <v>424</v>
      </c>
      <c r="C69" s="728">
        <f>OPTI!B66</f>
        <v>1.3000915190458688</v>
      </c>
      <c r="D69" s="726">
        <f>D67/$H$60</f>
        <v>1.3229137915355611</v>
      </c>
      <c r="E69" s="724">
        <f t="shared" si="4"/>
        <v>1.7554358408892187E-2</v>
      </c>
      <c r="F69" s="726">
        <f>F67/$H$60</f>
        <v>1.3985922200800309</v>
      </c>
      <c r="G69" s="724">
        <f t="shared" si="5"/>
        <v>7.5764436265572513E-2</v>
      </c>
      <c r="H69" s="581"/>
      <c r="I69" s="581"/>
      <c r="J69" s="581"/>
      <c r="K69" s="581"/>
      <c r="L69" s="581"/>
      <c r="M69" s="581"/>
      <c r="N69" s="581"/>
      <c r="O69" s="581"/>
      <c r="P69" s="581"/>
      <c r="Q69" s="581"/>
      <c r="R69" s="581"/>
    </row>
    <row r="70" spans="1:18">
      <c r="A70" s="581"/>
      <c r="B70" s="581"/>
      <c r="C70" s="581"/>
      <c r="D70" s="581"/>
      <c r="E70" s="581"/>
      <c r="F70" s="581"/>
      <c r="G70" s="581"/>
      <c r="H70" s="581"/>
      <c r="I70" s="581"/>
      <c r="P70" s="581"/>
      <c r="Q70" s="581"/>
      <c r="R70" s="581"/>
    </row>
    <row r="71" spans="1:18">
      <c r="A71" s="602" t="s">
        <v>412</v>
      </c>
      <c r="B71" s="603"/>
      <c r="C71" s="608"/>
      <c r="D71" s="608"/>
      <c r="E71" s="608"/>
      <c r="F71" s="603"/>
      <c r="G71" s="603"/>
      <c r="H71" s="581"/>
      <c r="I71" s="581"/>
      <c r="P71" s="581"/>
      <c r="Q71" s="581"/>
      <c r="R71" s="581"/>
    </row>
    <row r="72" spans="1:18">
      <c r="A72" s="720"/>
      <c r="B72" s="720" t="s">
        <v>420</v>
      </c>
      <c r="C72" s="720">
        <v>2013</v>
      </c>
      <c r="D72" s="1097">
        <v>2020</v>
      </c>
      <c r="E72" s="1097"/>
      <c r="F72" s="1097">
        <v>2030</v>
      </c>
      <c r="G72" s="1097"/>
      <c r="H72" s="581"/>
      <c r="I72" s="581"/>
      <c r="P72" s="581"/>
      <c r="Q72" s="581"/>
      <c r="R72" s="581"/>
    </row>
    <row r="73" spans="1:18">
      <c r="A73" s="720">
        <v>1</v>
      </c>
      <c r="B73" s="720">
        <v>2</v>
      </c>
      <c r="C73" s="720">
        <v>3</v>
      </c>
      <c r="D73" s="720">
        <v>4</v>
      </c>
      <c r="E73" s="720" t="s">
        <v>421</v>
      </c>
      <c r="F73" s="721">
        <v>6</v>
      </c>
      <c r="G73" s="720" t="s">
        <v>422</v>
      </c>
      <c r="H73" s="581"/>
      <c r="I73" s="581"/>
      <c r="P73" s="581"/>
      <c r="Q73" s="581"/>
      <c r="R73" s="581"/>
    </row>
    <row r="74" spans="1:18">
      <c r="A74" s="713" t="s">
        <v>499</v>
      </c>
      <c r="B74" s="722" t="s">
        <v>423</v>
      </c>
      <c r="C74" s="723">
        <f>OPTI!B71</f>
        <v>46484.945031600015</v>
      </c>
      <c r="D74" s="723">
        <f>K19</f>
        <v>49647.115911600013</v>
      </c>
      <c r="E74" s="724">
        <f>-(C74-D74)/C74</f>
        <v>6.8025699026865255E-2</v>
      </c>
      <c r="F74" s="723">
        <f>K45</f>
        <v>57157.271751600005</v>
      </c>
      <c r="G74" s="724">
        <f>-(C74-F74)/C74</f>
        <v>0.22958673421567016</v>
      </c>
      <c r="H74" s="609"/>
      <c r="I74" s="581"/>
      <c r="P74" s="581"/>
      <c r="Q74" s="581"/>
      <c r="R74" s="581"/>
    </row>
    <row r="75" spans="1:18">
      <c r="A75" s="713" t="s">
        <v>500</v>
      </c>
      <c r="B75" s="722" t="s">
        <v>423</v>
      </c>
      <c r="C75" s="723">
        <f>OPTI!B72</f>
        <v>70210.880460539745</v>
      </c>
      <c r="D75" s="723">
        <f>R17</f>
        <v>73782.957244088146</v>
      </c>
      <c r="E75" s="724">
        <f t="shared" ref="E75:E77" si="6">-(C75-D75)/C75</f>
        <v>5.0876399215019047E-2</v>
      </c>
      <c r="F75" s="723">
        <f>R43</f>
        <v>81324.17331884164</v>
      </c>
      <c r="G75" s="724">
        <f t="shared" ref="G75:G77" si="7">-(C75-F75)/C75</f>
        <v>0.15828448219714095</v>
      </c>
      <c r="H75" s="581"/>
      <c r="I75" s="581"/>
      <c r="P75" s="581"/>
      <c r="Q75" s="581"/>
      <c r="R75" s="581"/>
    </row>
    <row r="76" spans="1:18" ht="27">
      <c r="A76" s="713" t="s">
        <v>502</v>
      </c>
      <c r="B76" s="722" t="s">
        <v>491</v>
      </c>
      <c r="C76" s="723">
        <f>OPTI!B73</f>
        <v>129.36287500000003</v>
      </c>
      <c r="D76" s="725">
        <f>O17</f>
        <v>127.92858796296299</v>
      </c>
      <c r="E76" s="724">
        <f t="shared" si="6"/>
        <v>-1.1087315715865447E-2</v>
      </c>
      <c r="F76" s="725">
        <f>O43</f>
        <v>125.24635826771656</v>
      </c>
      <c r="G76" s="724">
        <f t="shared" si="7"/>
        <v>-3.1821469121519376E-2</v>
      </c>
      <c r="H76" s="581"/>
      <c r="I76" s="581"/>
      <c r="J76" s="581"/>
      <c r="N76" s="581"/>
      <c r="O76" s="616"/>
      <c r="P76" s="581"/>
      <c r="Q76" s="581"/>
      <c r="R76" s="581"/>
    </row>
    <row r="77" spans="1:18" ht="15.75">
      <c r="A77" s="713" t="s">
        <v>501</v>
      </c>
      <c r="B77" s="722" t="s">
        <v>424</v>
      </c>
      <c r="C77" s="728">
        <f>OPTI!B74</f>
        <v>9.8295232644755632</v>
      </c>
      <c r="D77" s="726">
        <f>D75/$H$60</f>
        <v>10.329614014172339</v>
      </c>
      <c r="E77" s="724">
        <f t="shared" si="6"/>
        <v>5.087639921501904E-2</v>
      </c>
      <c r="F77" s="726">
        <f>F75/$H$60</f>
        <v>11.38538426463783</v>
      </c>
      <c r="G77" s="724">
        <f t="shared" si="7"/>
        <v>0.15828448219714111</v>
      </c>
      <c r="H77" s="581"/>
      <c r="I77" s="581"/>
      <c r="J77" s="581"/>
      <c r="N77" s="581"/>
      <c r="O77" s="616"/>
      <c r="P77" s="581"/>
      <c r="Q77" s="581"/>
      <c r="R77" s="581"/>
    </row>
    <row r="78" spans="1:18" ht="15.75">
      <c r="E78" s="581"/>
      <c r="F78" s="581"/>
      <c r="G78" s="581"/>
      <c r="H78" s="581"/>
      <c r="I78" s="581"/>
      <c r="J78" s="581"/>
      <c r="N78" s="581"/>
      <c r="O78" s="616"/>
      <c r="P78" s="581"/>
      <c r="Q78" s="581"/>
      <c r="R78" s="581"/>
    </row>
    <row r="79" spans="1:18">
      <c r="A79" s="602" t="s">
        <v>426</v>
      </c>
      <c r="B79" s="603"/>
      <c r="D79" s="608"/>
      <c r="E79" s="608"/>
      <c r="F79" s="603"/>
      <c r="G79" s="603"/>
      <c r="H79" s="581"/>
      <c r="I79" s="581"/>
      <c r="J79" s="581"/>
      <c r="N79" s="581"/>
      <c r="O79" s="581"/>
      <c r="P79" s="581"/>
      <c r="Q79" s="581"/>
      <c r="R79" s="581"/>
    </row>
    <row r="80" spans="1:18">
      <c r="A80" s="720"/>
      <c r="B80" s="720" t="s">
        <v>420</v>
      </c>
      <c r="C80" s="720">
        <v>2013</v>
      </c>
      <c r="D80" s="1097">
        <v>2020</v>
      </c>
      <c r="E80" s="1097"/>
      <c r="F80" s="1097">
        <v>2030</v>
      </c>
      <c r="G80" s="1097"/>
      <c r="H80" s="581"/>
      <c r="I80" s="581"/>
      <c r="J80" s="581"/>
      <c r="N80" s="581"/>
      <c r="O80" s="581"/>
      <c r="P80" s="581"/>
      <c r="Q80" s="581"/>
      <c r="R80" s="581"/>
    </row>
    <row r="81" spans="1:18">
      <c r="A81" s="720">
        <v>1</v>
      </c>
      <c r="B81" s="720">
        <v>2</v>
      </c>
      <c r="C81" s="720">
        <v>3</v>
      </c>
      <c r="D81" s="720">
        <v>4</v>
      </c>
      <c r="E81" s="720" t="s">
        <v>421</v>
      </c>
      <c r="F81" s="721">
        <v>6</v>
      </c>
      <c r="G81" s="720" t="s">
        <v>422</v>
      </c>
      <c r="H81" s="581"/>
      <c r="I81" s="581"/>
      <c r="J81" s="581"/>
      <c r="N81" s="581"/>
      <c r="O81" s="581"/>
      <c r="P81" s="581"/>
      <c r="Q81" s="581"/>
      <c r="R81" s="581"/>
    </row>
    <row r="82" spans="1:18">
      <c r="A82" s="713" t="s">
        <v>499</v>
      </c>
      <c r="B82" s="722" t="s">
        <v>423</v>
      </c>
      <c r="C82" s="723">
        <f>OPTI!B79</f>
        <v>7249.0242283200005</v>
      </c>
      <c r="D82" s="723">
        <f>K25</f>
        <v>7384.6891548360009</v>
      </c>
      <c r="E82" s="724">
        <f>-(C82-D82)/C82</f>
        <v>1.8714922483772888E-2</v>
      </c>
      <c r="F82" s="723">
        <f>K51</f>
        <v>7520.3540813520012</v>
      </c>
      <c r="G82" s="724">
        <f>-(C82-F82)/C82</f>
        <v>3.7429844967545776E-2</v>
      </c>
      <c r="H82" s="609"/>
      <c r="I82" s="581"/>
      <c r="J82" s="581"/>
      <c r="N82" s="581"/>
      <c r="O82" s="581"/>
      <c r="P82" s="581"/>
      <c r="Q82" s="581"/>
      <c r="R82" s="581"/>
    </row>
    <row r="83" spans="1:18">
      <c r="A83" s="713" t="s">
        <v>500</v>
      </c>
      <c r="B83" s="722" t="s">
        <v>423</v>
      </c>
      <c r="C83" s="723">
        <f>OPTI!B80</f>
        <v>8754.095789476678</v>
      </c>
      <c r="D83" s="723">
        <f>R23</f>
        <v>9119.1951241430233</v>
      </c>
      <c r="E83" s="724">
        <f t="shared" ref="E83:E85" si="8">-(C83-D83)/C83</f>
        <v>4.1706116022311779E-2</v>
      </c>
      <c r="F83" s="723">
        <f>R49</f>
        <v>9254.8600506590228</v>
      </c>
      <c r="G83" s="724">
        <f t="shared" ref="G83:G85" si="9">-(C83-F83)/C83</f>
        <v>5.7203424913891722E-2</v>
      </c>
      <c r="H83" s="581"/>
      <c r="I83" s="581"/>
      <c r="J83" s="581"/>
    </row>
    <row r="84" spans="1:18" ht="27">
      <c r="A84" s="713" t="s">
        <v>502</v>
      </c>
      <c r="B84" s="722" t="s">
        <v>491</v>
      </c>
      <c r="C84" s="723">
        <f>OPTI!B81</f>
        <v>160.29988917139318</v>
      </c>
      <c r="D84" s="725">
        <f>O23</f>
        <v>158.54358171979919</v>
      </c>
      <c r="E84" s="724">
        <f t="shared" si="8"/>
        <v>-1.095638593808467E-2</v>
      </c>
      <c r="F84" s="725">
        <f>O49</f>
        <v>156.88668789754072</v>
      </c>
      <c r="G84" s="724">
        <f t="shared" si="9"/>
        <v>-2.1292599087221108E-2</v>
      </c>
      <c r="H84" s="617"/>
      <c r="I84" s="581"/>
      <c r="J84" s="581"/>
    </row>
    <row r="85" spans="1:18" ht="15.75">
      <c r="A85" s="713" t="s">
        <v>501</v>
      </c>
      <c r="B85" s="722" t="s">
        <v>424</v>
      </c>
      <c r="C85" s="728">
        <f>OPTI!B82</f>
        <v>1.2255734105267349</v>
      </c>
      <c r="D85" s="726">
        <f>D83/$H$60</f>
        <v>1.2766873173800233</v>
      </c>
      <c r="E85" s="724">
        <f t="shared" si="8"/>
        <v>4.1706116022311841E-2</v>
      </c>
      <c r="F85" s="726">
        <f>F83/$H$60</f>
        <v>1.2956804070922632</v>
      </c>
      <c r="G85" s="724">
        <f t="shared" si="9"/>
        <v>5.7203424913891764E-2</v>
      </c>
      <c r="H85" s="617"/>
      <c r="I85" s="581"/>
      <c r="J85" s="581"/>
    </row>
    <row r="86" spans="1:18" ht="15.75">
      <c r="E86" s="581"/>
      <c r="F86" s="617"/>
      <c r="G86" s="617"/>
      <c r="H86" s="617"/>
      <c r="I86" s="581"/>
      <c r="J86" s="581"/>
    </row>
    <row r="87" spans="1:18" ht="15.75">
      <c r="A87" s="602" t="s">
        <v>405</v>
      </c>
      <c r="B87" s="603"/>
      <c r="C87" s="608"/>
      <c r="D87" s="608"/>
      <c r="E87" s="608"/>
      <c r="F87" s="603"/>
      <c r="G87" s="603"/>
      <c r="H87" s="617"/>
      <c r="I87" s="581"/>
      <c r="J87" s="581"/>
    </row>
    <row r="88" spans="1:18" ht="15.75">
      <c r="A88" s="720"/>
      <c r="B88" s="720" t="s">
        <v>420</v>
      </c>
      <c r="C88" s="720">
        <v>2013</v>
      </c>
      <c r="D88" s="1097">
        <v>2020</v>
      </c>
      <c r="E88" s="1097"/>
      <c r="F88" s="1097">
        <v>2030</v>
      </c>
      <c r="G88" s="1097"/>
      <c r="H88" s="617"/>
      <c r="I88" s="581"/>
      <c r="J88" s="581"/>
    </row>
    <row r="89" spans="1:18" ht="15.75">
      <c r="A89" s="720">
        <v>1</v>
      </c>
      <c r="B89" s="720">
        <v>2</v>
      </c>
      <c r="C89" s="720">
        <v>3</v>
      </c>
      <c r="D89" s="720">
        <v>4</v>
      </c>
      <c r="E89" s="720" t="s">
        <v>421</v>
      </c>
      <c r="F89" s="721">
        <v>6</v>
      </c>
      <c r="G89" s="720" t="s">
        <v>422</v>
      </c>
      <c r="H89" s="617"/>
      <c r="I89" s="581"/>
      <c r="J89" s="581"/>
    </row>
    <row r="90" spans="1:18">
      <c r="A90" s="713" t="s">
        <v>499</v>
      </c>
      <c r="B90" s="722" t="s">
        <v>423</v>
      </c>
      <c r="C90" s="723">
        <f>C58+C74+C82+C67</f>
        <v>201960.22563710477</v>
      </c>
      <c r="D90" s="723">
        <f>D58+D74+D82+D67</f>
        <v>211034.81053969002</v>
      </c>
      <c r="E90" s="724">
        <f>-(C90-D90)/C90</f>
        <v>4.4932534977907251E-2</v>
      </c>
      <c r="F90" s="723">
        <f>F58+F74+F82+F67</f>
        <v>233255.52367009508</v>
      </c>
      <c r="G90" s="724">
        <f>-(C90-F90)/C90</f>
        <v>0.15495772959386434</v>
      </c>
      <c r="H90" s="609"/>
      <c r="I90" s="609"/>
      <c r="J90" s="609"/>
    </row>
    <row r="91" spans="1:18" ht="15.75">
      <c r="A91" s="713" t="s">
        <v>500</v>
      </c>
      <c r="B91" s="722" t="s">
        <v>423</v>
      </c>
      <c r="C91" s="723">
        <f>C59+C75+C83+C67</f>
        <v>347705.38709255727</v>
      </c>
      <c r="D91" s="723">
        <f>D59+D75+D83+D67</f>
        <v>357665.83655396762</v>
      </c>
      <c r="E91" s="724">
        <f t="shared" ref="E91:E93" si="10">-(C91-D91)/C91</f>
        <v>2.86462327912076E-2</v>
      </c>
      <c r="F91" s="723">
        <f>F59+F75+F83+F67</f>
        <v>380504.9937141015</v>
      </c>
      <c r="G91" s="724">
        <f t="shared" ref="G91:G93" si="11">-(C91-F91)/C91</f>
        <v>9.4331603245517592E-2</v>
      </c>
      <c r="H91" s="617"/>
      <c r="I91" s="581"/>
      <c r="J91" s="581"/>
    </row>
    <row r="92" spans="1:18" ht="27">
      <c r="A92" s="713" t="s">
        <v>502</v>
      </c>
      <c r="B92" s="722" t="s">
        <v>491</v>
      </c>
      <c r="C92" s="725">
        <f>OPTI!B89</f>
        <v>160.96311412483328</v>
      </c>
      <c r="D92" s="725">
        <f>(D60*E3+D76*E15+D84*E21+E9*D68)/(E3+E15+E21+E9)</f>
        <v>158.27642281702654</v>
      </c>
      <c r="E92" s="724">
        <f t="shared" si="10"/>
        <v>-1.669134771909982E-2</v>
      </c>
      <c r="F92" s="723">
        <f>(F60*E3+F76*E15+F84*E21+F68*E9)/(E3+E15+E21+E9)</f>
        <v>153.10472239371617</v>
      </c>
      <c r="G92" s="724">
        <f t="shared" si="11"/>
        <v>-4.8821071671256398E-2</v>
      </c>
      <c r="H92" s="617"/>
      <c r="I92" s="581"/>
      <c r="J92" s="581"/>
    </row>
    <row r="93" spans="1:18" ht="15.75">
      <c r="A93" s="713" t="s">
        <v>501</v>
      </c>
      <c r="B93" s="722" t="s">
        <v>424</v>
      </c>
      <c r="C93" s="726">
        <f>C91/$H$60</f>
        <v>48.678754192958017</v>
      </c>
      <c r="D93" s="726">
        <f>D91/$H$60</f>
        <v>50.073217117555465</v>
      </c>
      <c r="E93" s="724">
        <f t="shared" si="10"/>
        <v>2.8646232791207597E-2</v>
      </c>
      <c r="F93" s="726">
        <f>F91/$H$60</f>
        <v>53.270699119974211</v>
      </c>
      <c r="G93" s="724">
        <f t="shared" si="11"/>
        <v>9.4331603245517634E-2</v>
      </c>
      <c r="H93" s="617"/>
      <c r="I93" s="581"/>
      <c r="J93" s="581"/>
    </row>
    <row r="94" spans="1:18" ht="15.75">
      <c r="E94" s="581"/>
      <c r="F94" s="617"/>
      <c r="G94" s="617"/>
      <c r="H94" s="617"/>
      <c r="I94" s="581"/>
      <c r="J94" s="581"/>
    </row>
    <row r="95" spans="1:18" ht="15.75">
      <c r="E95" s="581"/>
      <c r="F95" s="617"/>
      <c r="G95" s="617"/>
      <c r="H95" s="617"/>
      <c r="I95" s="581"/>
      <c r="J95" s="581"/>
    </row>
    <row r="96" spans="1:18" ht="15.75">
      <c r="E96" s="581"/>
      <c r="F96" s="617"/>
      <c r="G96" s="617"/>
      <c r="H96" s="617"/>
      <c r="I96" s="581"/>
      <c r="J96" s="581"/>
    </row>
    <row r="97" spans="5:10" ht="15.75">
      <c r="E97" s="581"/>
      <c r="F97" s="617"/>
      <c r="G97" s="617"/>
      <c r="H97" s="617"/>
      <c r="I97" s="581"/>
      <c r="J97" s="581"/>
    </row>
    <row r="98" spans="5:10" ht="15.75">
      <c r="E98" s="581"/>
      <c r="F98" s="617"/>
      <c r="G98" s="617"/>
      <c r="H98" s="617"/>
      <c r="I98" s="581"/>
      <c r="J98" s="581"/>
    </row>
    <row r="99" spans="5:10" ht="15.75">
      <c r="E99" s="581"/>
      <c r="F99" s="617"/>
      <c r="G99" s="617"/>
      <c r="H99" s="617"/>
      <c r="I99" s="581"/>
      <c r="J99" s="581"/>
    </row>
    <row r="100" spans="5:10" ht="15.75">
      <c r="E100" s="581"/>
      <c r="F100" s="617"/>
      <c r="G100" s="617"/>
      <c r="H100" s="617"/>
      <c r="I100" s="581"/>
      <c r="J100" s="581"/>
    </row>
    <row r="101" spans="5:10" ht="15.75">
      <c r="E101" s="581"/>
      <c r="F101" s="617"/>
      <c r="G101" s="617"/>
      <c r="H101" s="617"/>
      <c r="I101" s="581"/>
      <c r="J101" s="581"/>
    </row>
    <row r="102" spans="5:10" ht="15.75">
      <c r="E102" s="581"/>
      <c r="F102" s="617"/>
      <c r="G102" s="617"/>
      <c r="H102" s="617"/>
      <c r="I102" s="581"/>
      <c r="J102" s="581"/>
    </row>
    <row r="103" spans="5:10" ht="15.75">
      <c r="E103" s="581"/>
      <c r="F103" s="617"/>
      <c r="G103" s="617"/>
      <c r="H103" s="617"/>
      <c r="I103" s="581"/>
      <c r="J103" s="581"/>
    </row>
    <row r="104" spans="5:10" ht="15.75">
      <c r="E104" s="581"/>
      <c r="F104" s="617"/>
      <c r="G104" s="617"/>
      <c r="H104" s="617"/>
      <c r="I104" s="581"/>
      <c r="J104" s="581"/>
    </row>
    <row r="105" spans="5:10" ht="15.75">
      <c r="E105" s="581"/>
      <c r="F105" s="617"/>
      <c r="G105" s="617"/>
      <c r="H105" s="617"/>
      <c r="I105" s="581"/>
      <c r="J105" s="581"/>
    </row>
    <row r="106" spans="5:10" ht="15.75">
      <c r="E106" s="581"/>
      <c r="F106" s="617"/>
      <c r="G106" s="617"/>
      <c r="H106" s="617"/>
      <c r="I106" s="581"/>
      <c r="J106" s="581"/>
    </row>
    <row r="107" spans="5:10" ht="15.75">
      <c r="E107" s="581"/>
      <c r="F107" s="617"/>
      <c r="G107" s="617"/>
      <c r="H107" s="617"/>
      <c r="I107" s="581"/>
      <c r="J107" s="581"/>
    </row>
    <row r="108" spans="5:10" ht="15.75">
      <c r="E108" s="581"/>
      <c r="F108" s="617"/>
      <c r="G108" s="617"/>
      <c r="H108" s="617"/>
      <c r="I108" s="581"/>
      <c r="J108" s="581"/>
    </row>
    <row r="109" spans="5:10" ht="15.75">
      <c r="E109" s="581"/>
      <c r="F109" s="617"/>
      <c r="G109" s="617"/>
      <c r="H109" s="617"/>
      <c r="I109" s="581"/>
      <c r="J109" s="581"/>
    </row>
    <row r="110" spans="5:10" ht="15.75">
      <c r="E110" s="581"/>
      <c r="F110" s="617"/>
      <c r="G110" s="617"/>
      <c r="H110" s="617"/>
      <c r="I110" s="581"/>
      <c r="J110" s="581"/>
    </row>
    <row r="111" spans="5:10" ht="15.75">
      <c r="E111" s="581"/>
      <c r="F111" s="617"/>
      <c r="G111" s="617"/>
      <c r="H111" s="617"/>
      <c r="I111" s="581"/>
      <c r="J111" s="581"/>
    </row>
    <row r="112" spans="5:10" ht="15.75">
      <c r="E112" s="581"/>
      <c r="F112" s="617"/>
      <c r="G112" s="617"/>
      <c r="H112" s="617"/>
      <c r="I112" s="581"/>
      <c r="J112" s="581"/>
    </row>
    <row r="113" spans="5:10" ht="15.75">
      <c r="E113" s="581"/>
      <c r="F113" s="617"/>
      <c r="G113" s="617"/>
      <c r="H113" s="617"/>
      <c r="I113" s="581"/>
      <c r="J113" s="581"/>
    </row>
    <row r="114" spans="5:10" ht="15.75">
      <c r="E114" s="581"/>
      <c r="F114" s="617"/>
      <c r="G114" s="617"/>
      <c r="H114" s="617"/>
      <c r="I114" s="581"/>
      <c r="J114" s="581"/>
    </row>
    <row r="115" spans="5:10" ht="15.75">
      <c r="E115" s="581"/>
      <c r="F115" s="617"/>
      <c r="G115" s="617"/>
      <c r="H115" s="617"/>
      <c r="I115" s="581"/>
      <c r="J115" s="581"/>
    </row>
    <row r="116" spans="5:10" ht="15.75">
      <c r="E116" s="581"/>
      <c r="F116" s="617"/>
      <c r="G116" s="617"/>
      <c r="H116" s="617"/>
      <c r="I116" s="581"/>
      <c r="J116" s="581"/>
    </row>
    <row r="117" spans="5:10" ht="15.75">
      <c r="E117" s="581"/>
      <c r="F117" s="617"/>
      <c r="G117" s="617"/>
      <c r="H117" s="617"/>
      <c r="I117" s="581"/>
      <c r="J117" s="581"/>
    </row>
    <row r="118" spans="5:10" ht="15.75">
      <c r="E118" s="581"/>
      <c r="F118" s="617"/>
      <c r="G118" s="617"/>
      <c r="H118" s="617"/>
      <c r="I118" s="581"/>
      <c r="J118" s="581"/>
    </row>
    <row r="119" spans="5:10" ht="15.75">
      <c r="E119" s="581"/>
      <c r="F119" s="617"/>
      <c r="G119" s="617"/>
      <c r="H119" s="617"/>
      <c r="I119" s="581"/>
      <c r="J119" s="581"/>
    </row>
    <row r="120" spans="5:10" ht="15.75">
      <c r="E120" s="581"/>
      <c r="F120" s="617"/>
      <c r="G120" s="617"/>
      <c r="H120" s="617"/>
      <c r="I120" s="581"/>
      <c r="J120" s="581"/>
    </row>
    <row r="121" spans="5:10" ht="15.75">
      <c r="E121" s="581"/>
      <c r="F121" s="617"/>
      <c r="G121" s="617"/>
      <c r="H121" s="617"/>
      <c r="I121" s="581"/>
      <c r="J121" s="581"/>
    </row>
    <row r="122" spans="5:10" ht="15.75">
      <c r="E122" s="581"/>
      <c r="F122" s="617"/>
      <c r="G122" s="617"/>
      <c r="H122" s="617"/>
      <c r="I122" s="581"/>
      <c r="J122" s="581"/>
    </row>
    <row r="123" spans="5:10">
      <c r="E123" s="581"/>
      <c r="F123" s="581"/>
      <c r="G123" s="581"/>
      <c r="H123" s="581"/>
      <c r="I123" s="581"/>
      <c r="J123" s="581"/>
    </row>
    <row r="124" spans="5:10">
      <c r="E124" s="581"/>
      <c r="F124" s="581"/>
      <c r="G124" s="581"/>
      <c r="H124" s="581"/>
      <c r="I124" s="581"/>
      <c r="J124" s="581"/>
    </row>
    <row r="125" spans="5:10">
      <c r="E125" s="581"/>
      <c r="F125" s="581"/>
      <c r="G125" s="581"/>
      <c r="H125" s="581"/>
      <c r="I125" s="581"/>
      <c r="J125" s="581"/>
    </row>
    <row r="126" spans="5:10">
      <c r="E126" s="581"/>
      <c r="F126" s="581"/>
      <c r="G126" s="581"/>
      <c r="H126" s="581"/>
      <c r="I126" s="581"/>
      <c r="J126" s="581"/>
    </row>
    <row r="127" spans="5:10">
      <c r="E127" s="581"/>
      <c r="F127" s="581"/>
      <c r="G127" s="581"/>
      <c r="H127" s="581"/>
      <c r="I127" s="581"/>
      <c r="J127" s="581"/>
    </row>
    <row r="128" spans="5:10">
      <c r="E128" s="581"/>
      <c r="F128" s="581"/>
      <c r="G128" s="581"/>
      <c r="H128" s="581"/>
      <c r="I128" s="581"/>
      <c r="J128" s="581"/>
    </row>
    <row r="129" spans="5:10">
      <c r="E129" s="581"/>
      <c r="F129" s="581"/>
      <c r="G129" s="581"/>
      <c r="H129" s="581"/>
      <c r="I129" s="581"/>
      <c r="J129" s="581"/>
    </row>
    <row r="130" spans="5:10">
      <c r="E130" s="581"/>
      <c r="F130" s="581"/>
      <c r="G130" s="581"/>
      <c r="H130" s="581"/>
      <c r="I130" s="581"/>
      <c r="J130" s="581"/>
    </row>
    <row r="131" spans="5:10">
      <c r="E131" s="581"/>
      <c r="F131" s="581"/>
      <c r="G131" s="581"/>
      <c r="H131" s="581"/>
      <c r="I131" s="581"/>
      <c r="J131" s="581"/>
    </row>
    <row r="132" spans="5:10">
      <c r="E132" s="581"/>
      <c r="F132" s="581"/>
      <c r="G132" s="581"/>
      <c r="H132" s="581"/>
      <c r="I132" s="581"/>
      <c r="J132" s="581"/>
    </row>
    <row r="133" spans="5:10">
      <c r="E133" s="581"/>
      <c r="F133" s="581"/>
      <c r="G133" s="581"/>
      <c r="H133" s="581"/>
      <c r="I133" s="581"/>
      <c r="J133" s="581"/>
    </row>
    <row r="134" spans="5:10">
      <c r="E134" s="581"/>
      <c r="F134" s="581"/>
      <c r="G134" s="581"/>
      <c r="H134" s="581"/>
      <c r="I134" s="581"/>
      <c r="J134" s="581"/>
    </row>
    <row r="135" spans="5:10">
      <c r="E135" s="581"/>
      <c r="F135" s="581"/>
      <c r="G135" s="581"/>
      <c r="H135" s="581"/>
      <c r="I135" s="581"/>
      <c r="J135" s="581"/>
    </row>
    <row r="136" spans="5:10">
      <c r="E136" s="581"/>
      <c r="F136" s="581"/>
      <c r="G136" s="581"/>
      <c r="H136" s="581"/>
      <c r="I136" s="581"/>
      <c r="J136" s="581"/>
    </row>
    <row r="137" spans="5:10">
      <c r="E137" s="581"/>
      <c r="F137" s="581"/>
      <c r="G137" s="581"/>
      <c r="H137" s="581"/>
      <c r="I137" s="581"/>
      <c r="J137" s="581"/>
    </row>
    <row r="138" spans="5:10" ht="15.75">
      <c r="E138" s="581"/>
      <c r="F138" s="581"/>
      <c r="G138" s="618"/>
      <c r="H138" s="1098"/>
      <c r="I138" s="1098"/>
      <c r="J138" s="618"/>
    </row>
    <row r="139" spans="5:10" ht="15.75">
      <c r="E139" s="581"/>
      <c r="F139" s="581"/>
      <c r="G139" s="619"/>
      <c r="H139" s="1096"/>
      <c r="I139" s="619"/>
      <c r="J139" s="619"/>
    </row>
    <row r="140" spans="5:10" ht="15.75">
      <c r="E140" s="581"/>
      <c r="F140" s="581"/>
      <c r="G140" s="619"/>
      <c r="H140" s="1096"/>
      <c r="I140" s="619"/>
      <c r="J140" s="619"/>
    </row>
    <row r="141" spans="5:10" ht="15.75">
      <c r="E141" s="581"/>
      <c r="F141" s="581"/>
      <c r="G141" s="619"/>
      <c r="H141" s="1096"/>
      <c r="I141" s="619"/>
      <c r="J141" s="619"/>
    </row>
    <row r="142" spans="5:10" ht="15.75">
      <c r="E142" s="581"/>
      <c r="F142" s="581"/>
      <c r="G142" s="619"/>
      <c r="H142" s="1096"/>
      <c r="I142" s="619"/>
      <c r="J142" s="619"/>
    </row>
    <row r="143" spans="5:10" ht="15.75">
      <c r="E143" s="581"/>
      <c r="F143" s="581"/>
      <c r="G143" s="619"/>
      <c r="H143" s="1096"/>
      <c r="I143" s="619"/>
      <c r="J143" s="619"/>
    </row>
    <row r="144" spans="5:10" ht="15.75">
      <c r="E144" s="581"/>
      <c r="F144" s="581"/>
      <c r="G144" s="619"/>
      <c r="H144" s="1096"/>
      <c r="I144" s="619"/>
      <c r="J144" s="619"/>
    </row>
    <row r="145" spans="5:10" ht="15.75">
      <c r="E145" s="581"/>
      <c r="F145" s="581"/>
      <c r="G145" s="619"/>
      <c r="H145" s="1096"/>
      <c r="I145" s="619"/>
      <c r="J145" s="619"/>
    </row>
    <row r="146" spans="5:10" ht="15.75">
      <c r="E146" s="581"/>
      <c r="F146" s="581"/>
      <c r="G146" s="619"/>
      <c r="H146" s="1096"/>
      <c r="I146" s="619"/>
      <c r="J146" s="619"/>
    </row>
    <row r="147" spans="5:10" ht="15.75">
      <c r="E147" s="581"/>
      <c r="F147" s="581"/>
      <c r="G147" s="619"/>
      <c r="H147" s="1096"/>
      <c r="I147" s="619"/>
      <c r="J147" s="619"/>
    </row>
    <row r="148" spans="5:10" ht="15.75">
      <c r="E148" s="581"/>
      <c r="F148" s="581"/>
      <c r="G148" s="619"/>
      <c r="H148" s="1096"/>
      <c r="I148" s="619"/>
      <c r="J148" s="619"/>
    </row>
    <row r="149" spans="5:10" ht="15.75">
      <c r="E149" s="581"/>
      <c r="F149" s="581"/>
      <c r="G149" s="619"/>
      <c r="H149" s="1096"/>
      <c r="I149" s="619"/>
      <c r="J149" s="619"/>
    </row>
    <row r="150" spans="5:10" ht="15.75">
      <c r="E150" s="581"/>
      <c r="F150" s="581"/>
      <c r="G150" s="619"/>
      <c r="H150" s="1096"/>
      <c r="I150" s="619"/>
      <c r="J150" s="619"/>
    </row>
    <row r="151" spans="5:10" ht="15.75">
      <c r="E151" s="581"/>
      <c r="F151" s="581"/>
      <c r="G151" s="619"/>
      <c r="H151" s="1096"/>
      <c r="I151" s="619"/>
      <c r="J151" s="619"/>
    </row>
    <row r="152" spans="5:10" ht="15.75">
      <c r="E152" s="581"/>
      <c r="F152" s="581"/>
      <c r="G152" s="619"/>
      <c r="H152" s="1096"/>
      <c r="I152" s="619"/>
      <c r="J152" s="619"/>
    </row>
    <row r="153" spans="5:10" ht="15">
      <c r="E153" s="581"/>
      <c r="F153" s="581"/>
      <c r="G153" s="620"/>
      <c r="H153" s="620"/>
      <c r="I153" s="620"/>
      <c r="J153" s="620"/>
    </row>
    <row r="154" spans="5:10" ht="15.75">
      <c r="E154" s="581"/>
      <c r="F154" s="581"/>
      <c r="G154" s="1096"/>
      <c r="H154" s="1096"/>
      <c r="I154" s="1096"/>
      <c r="J154" s="1096"/>
    </row>
    <row r="155" spans="5:10" ht="15.75">
      <c r="E155" s="581"/>
      <c r="F155" s="581"/>
      <c r="G155" s="1096"/>
      <c r="H155" s="1096"/>
      <c r="I155" s="1096"/>
      <c r="J155" s="1096"/>
    </row>
    <row r="156" spans="5:10" ht="15.75">
      <c r="E156" s="581"/>
      <c r="F156" s="581"/>
      <c r="G156" s="1096"/>
      <c r="H156" s="1096"/>
      <c r="I156" s="1096"/>
      <c r="J156" s="1096"/>
    </row>
    <row r="157" spans="5:10" ht="15.75">
      <c r="E157" s="581"/>
      <c r="F157" s="581"/>
      <c r="G157" s="1096"/>
      <c r="H157" s="1096"/>
      <c r="I157" s="1096"/>
      <c r="J157" s="1096"/>
    </row>
    <row r="158" spans="5:10" ht="15.75">
      <c r="E158" s="581"/>
      <c r="F158" s="581"/>
      <c r="G158" s="1096"/>
      <c r="H158" s="1096"/>
      <c r="I158" s="1096"/>
      <c r="J158" s="1096"/>
    </row>
    <row r="159" spans="5:10" ht="15.75">
      <c r="E159" s="581"/>
      <c r="F159" s="581"/>
      <c r="G159" s="1096"/>
      <c r="H159" s="1096"/>
      <c r="I159" s="1096"/>
      <c r="J159" s="1096"/>
    </row>
    <row r="160" spans="5:10">
      <c r="E160" s="581"/>
      <c r="F160" s="581"/>
      <c r="G160" s="581"/>
      <c r="H160" s="581"/>
      <c r="I160" s="581"/>
      <c r="J160" s="581"/>
    </row>
    <row r="161" spans="5:10">
      <c r="E161" s="581"/>
      <c r="F161" s="581"/>
      <c r="G161" s="581"/>
      <c r="H161" s="581"/>
      <c r="I161" s="581"/>
      <c r="J161" s="581"/>
    </row>
    <row r="162" spans="5:10">
      <c r="E162" s="581"/>
      <c r="F162" s="581"/>
      <c r="G162" s="581"/>
      <c r="H162" s="581"/>
      <c r="I162" s="581"/>
      <c r="J162" s="581"/>
    </row>
    <row r="163" spans="5:10">
      <c r="E163" s="581"/>
      <c r="F163" s="581"/>
      <c r="G163" s="581"/>
      <c r="H163" s="581"/>
      <c r="I163" s="581"/>
      <c r="J163" s="581"/>
    </row>
    <row r="164" spans="5:10">
      <c r="E164" s="581"/>
      <c r="F164" s="581"/>
      <c r="G164" s="581"/>
      <c r="H164" s="581"/>
      <c r="I164" s="581"/>
      <c r="J164" s="581"/>
    </row>
    <row r="165" spans="5:10">
      <c r="E165" s="581"/>
      <c r="F165" s="581"/>
      <c r="G165" s="581"/>
      <c r="H165" s="581"/>
      <c r="I165" s="581"/>
      <c r="J165" s="581"/>
    </row>
    <row r="166" spans="5:10">
      <c r="E166" s="581"/>
      <c r="F166" s="581"/>
      <c r="G166" s="581"/>
      <c r="H166" s="581"/>
      <c r="I166" s="581"/>
      <c r="J166" s="581"/>
    </row>
  </sheetData>
  <mergeCells count="54">
    <mergeCell ref="L10:M10"/>
    <mergeCell ref="A1:R1"/>
    <mergeCell ref="L4:M4"/>
    <mergeCell ref="O5:O6"/>
    <mergeCell ref="P5:P6"/>
    <mergeCell ref="R5:R6"/>
    <mergeCell ref="L30:M30"/>
    <mergeCell ref="O11:O12"/>
    <mergeCell ref="P11:P12"/>
    <mergeCell ref="R11:R12"/>
    <mergeCell ref="L16:M16"/>
    <mergeCell ref="O17:O18"/>
    <mergeCell ref="P17:P18"/>
    <mergeCell ref="R17:R18"/>
    <mergeCell ref="L22:M22"/>
    <mergeCell ref="O23:O24"/>
    <mergeCell ref="P23:P24"/>
    <mergeCell ref="R23:R24"/>
    <mergeCell ref="A27:R27"/>
    <mergeCell ref="O31:O32"/>
    <mergeCell ref="P31:P32"/>
    <mergeCell ref="R31:R32"/>
    <mergeCell ref="L36:M36"/>
    <mergeCell ref="O37:O38"/>
    <mergeCell ref="P37:P38"/>
    <mergeCell ref="R37:R38"/>
    <mergeCell ref="L42:M42"/>
    <mergeCell ref="O43:O44"/>
    <mergeCell ref="P43:P44"/>
    <mergeCell ref="R43:R44"/>
    <mergeCell ref="L48:M48"/>
    <mergeCell ref="O49:O50"/>
    <mergeCell ref="P49:P50"/>
    <mergeCell ref="R49:R50"/>
    <mergeCell ref="A54:R54"/>
    <mergeCell ref="D64:E64"/>
    <mergeCell ref="F64:G64"/>
    <mergeCell ref="G154:J154"/>
    <mergeCell ref="D72:E72"/>
    <mergeCell ref="F72:G72"/>
    <mergeCell ref="D80:E80"/>
    <mergeCell ref="F80:G80"/>
    <mergeCell ref="D88:E88"/>
    <mergeCell ref="F88:G88"/>
    <mergeCell ref="H138:I138"/>
    <mergeCell ref="H139:H145"/>
    <mergeCell ref="H146:H147"/>
    <mergeCell ref="H148:H150"/>
    <mergeCell ref="H151:H152"/>
    <mergeCell ref="G155:J155"/>
    <mergeCell ref="G156:J156"/>
    <mergeCell ref="G157:J157"/>
    <mergeCell ref="G158:J158"/>
    <mergeCell ref="G159:J15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0E740-FF40-42AD-B384-F3CA999F0D64}">
  <sheetPr>
    <tabColor theme="6"/>
  </sheetPr>
  <dimension ref="A1:AA87"/>
  <sheetViews>
    <sheetView zoomScale="85" zoomScaleNormal="85" zoomScaleSheetLayoutView="85" workbookViewId="0">
      <pane ySplit="1" topLeftCell="A17" activePane="bottomLeft" state="frozen"/>
      <selection pane="bottomLeft" activeCell="P25" sqref="P25"/>
    </sheetView>
  </sheetViews>
  <sheetFormatPr defaultColWidth="10.28515625" defaultRowHeight="12"/>
  <cols>
    <col min="1" max="1" width="18.7109375" style="815" customWidth="1"/>
    <col min="2" max="2" width="11.7109375" style="815" customWidth="1"/>
    <col min="3" max="3" width="14.85546875" style="815" customWidth="1"/>
    <col min="4" max="4" width="11.42578125" style="815" bestFit="1" customWidth="1"/>
    <col min="5" max="5" width="8.5703125" style="815" bestFit="1" customWidth="1"/>
    <col min="6" max="6" width="12.28515625" style="815" bestFit="1" customWidth="1"/>
    <col min="7" max="7" width="7.5703125" style="815" bestFit="1" customWidth="1"/>
    <col min="8" max="8" width="12.28515625" style="815" bestFit="1" customWidth="1"/>
    <col min="9" max="9" width="7.5703125" style="815" bestFit="1" customWidth="1"/>
    <col min="10" max="10" width="10" style="815" bestFit="1" customWidth="1"/>
    <col min="11" max="11" width="10.28515625" style="815"/>
    <col min="12" max="12" width="21.85546875" style="815" bestFit="1" customWidth="1"/>
    <col min="13" max="13" width="16.5703125" style="815" customWidth="1"/>
    <col min="14" max="15" width="13" style="815" customWidth="1"/>
    <col min="16" max="17" width="10.28515625" style="815"/>
    <col min="18" max="18" width="18.7109375" style="815" customWidth="1"/>
    <col min="19" max="19" width="11.7109375" style="815" customWidth="1"/>
    <col min="20" max="20" width="14.85546875" style="815" customWidth="1"/>
    <col min="21" max="21" width="11.5703125" style="815" customWidth="1"/>
    <col min="22" max="22" width="8.5703125" style="815" bestFit="1" customWidth="1"/>
    <col min="23" max="23" width="12.28515625" style="815" bestFit="1" customWidth="1"/>
    <col min="24" max="24" width="12.42578125" style="815" bestFit="1" customWidth="1"/>
    <col min="25" max="25" width="12.28515625" style="815" bestFit="1" customWidth="1"/>
    <col min="26" max="26" width="7.5703125" style="815" bestFit="1" customWidth="1"/>
    <col min="27" max="27" width="10" style="815" bestFit="1" customWidth="1"/>
    <col min="28" max="16384" width="10.28515625" style="815"/>
  </cols>
  <sheetData>
    <row r="1" spans="1:27" ht="21" customHeight="1">
      <c r="A1" s="1126" t="s">
        <v>596</v>
      </c>
      <c r="B1" s="1126"/>
      <c r="C1" s="1126"/>
      <c r="D1" s="1126"/>
      <c r="E1" s="1126"/>
      <c r="F1" s="1126"/>
      <c r="G1" s="1126"/>
      <c r="H1" s="1126"/>
      <c r="I1" s="1126"/>
      <c r="J1" s="1126"/>
      <c r="K1" s="1126"/>
      <c r="L1" s="1126"/>
      <c r="M1" s="1126"/>
      <c r="N1" s="1126"/>
      <c r="O1" s="1126"/>
      <c r="R1" s="1123" t="s">
        <v>628</v>
      </c>
      <c r="S1" s="1123"/>
      <c r="T1" s="1123"/>
      <c r="U1" s="1123"/>
      <c r="V1" s="1123"/>
      <c r="W1" s="1123"/>
      <c r="X1" s="1123"/>
      <c r="Y1" s="1123"/>
      <c r="Z1" s="1123"/>
      <c r="AA1" s="1123"/>
    </row>
    <row r="2" spans="1:27" ht="15">
      <c r="A2" s="1117" t="s">
        <v>329</v>
      </c>
      <c r="B2" s="1117"/>
      <c r="C2" s="1117"/>
      <c r="D2" s="1117"/>
      <c r="E2" s="1117"/>
      <c r="F2" s="1117"/>
      <c r="G2" s="1117"/>
      <c r="H2" s="1117"/>
      <c r="I2" s="1117"/>
      <c r="J2" s="1117"/>
      <c r="R2" s="1117" t="s">
        <v>329</v>
      </c>
      <c r="S2" s="1117"/>
      <c r="T2" s="1117"/>
      <c r="U2" s="1117"/>
      <c r="V2" s="1117"/>
      <c r="W2" s="1117"/>
      <c r="X2" s="1117"/>
      <c r="Y2" s="1117"/>
      <c r="Z2" s="1117"/>
      <c r="AA2" s="1117"/>
    </row>
    <row r="3" spans="1:27">
      <c r="A3" s="1127" t="s">
        <v>582</v>
      </c>
      <c r="B3" s="1128"/>
      <c r="C3" s="1129"/>
      <c r="D3" s="1119" t="s">
        <v>583</v>
      </c>
      <c r="E3" s="1119"/>
      <c r="F3" s="1119"/>
      <c r="G3" s="1119"/>
      <c r="H3" s="1119"/>
      <c r="I3" s="1119"/>
      <c r="J3" s="1119"/>
      <c r="R3" s="1118" t="s">
        <v>582</v>
      </c>
      <c r="S3" s="1118"/>
      <c r="T3" s="1118"/>
      <c r="U3" s="1119" t="s">
        <v>583</v>
      </c>
      <c r="V3" s="1119"/>
      <c r="W3" s="1119"/>
      <c r="X3" s="1119"/>
      <c r="Y3" s="1119"/>
      <c r="Z3" s="1119"/>
      <c r="AA3" s="1119"/>
    </row>
    <row r="4" spans="1:27" s="816" customFormat="1" ht="46.5" customHeight="1">
      <c r="A4" s="1120" t="s">
        <v>516</v>
      </c>
      <c r="B4" s="1122" t="s">
        <v>591</v>
      </c>
      <c r="C4" s="1120" t="s">
        <v>594</v>
      </c>
      <c r="D4" s="1119"/>
      <c r="E4" s="1119"/>
      <c r="F4" s="1119"/>
      <c r="G4" s="1119"/>
      <c r="H4" s="1119"/>
      <c r="I4" s="1119"/>
      <c r="J4" s="1119"/>
      <c r="L4" s="1125" t="s">
        <v>592</v>
      </c>
      <c r="M4" s="1125"/>
      <c r="N4" s="1125"/>
      <c r="O4" s="943" t="s">
        <v>593</v>
      </c>
      <c r="P4" s="815"/>
      <c r="R4" s="1120" t="s">
        <v>516</v>
      </c>
      <c r="S4" s="1122" t="s">
        <v>591</v>
      </c>
      <c r="T4" s="1120" t="s">
        <v>594</v>
      </c>
      <c r="U4" s="1119"/>
      <c r="V4" s="1119"/>
      <c r="W4" s="1119"/>
      <c r="X4" s="1119"/>
      <c r="Y4" s="1119"/>
      <c r="Z4" s="1119"/>
      <c r="AA4" s="1119"/>
    </row>
    <row r="5" spans="1:27" s="816" customFormat="1" ht="14.25" customHeight="1">
      <c r="A5" s="1121"/>
      <c r="B5" s="1122"/>
      <c r="C5" s="1121"/>
      <c r="D5" s="819" t="s">
        <v>560</v>
      </c>
      <c r="E5" s="819" t="s">
        <v>561</v>
      </c>
      <c r="F5" s="819" t="s">
        <v>584</v>
      </c>
      <c r="G5" s="819" t="s">
        <v>461</v>
      </c>
      <c r="H5" s="819" t="s">
        <v>569</v>
      </c>
      <c r="I5" s="820" t="s">
        <v>571</v>
      </c>
      <c r="J5" s="819" t="s">
        <v>363</v>
      </c>
      <c r="L5" s="822" t="s">
        <v>585</v>
      </c>
      <c r="M5" s="822" t="s">
        <v>586</v>
      </c>
      <c r="N5" s="822">
        <v>2020</v>
      </c>
      <c r="O5" s="944">
        <v>2016</v>
      </c>
      <c r="P5" s="815"/>
      <c r="R5" s="1121"/>
      <c r="S5" s="1122"/>
      <c r="T5" s="1121"/>
      <c r="U5" s="819" t="s">
        <v>560</v>
      </c>
      <c r="V5" s="819" t="s">
        <v>561</v>
      </c>
      <c r="W5" s="819" t="s">
        <v>584</v>
      </c>
      <c r="X5" s="819" t="s">
        <v>461</v>
      </c>
      <c r="Y5" s="819" t="s">
        <v>569</v>
      </c>
      <c r="Z5" s="820" t="s">
        <v>571</v>
      </c>
      <c r="AA5" s="819" t="s">
        <v>363</v>
      </c>
    </row>
    <row r="6" spans="1:27" ht="15" customHeight="1">
      <c r="A6" s="814" t="s">
        <v>479</v>
      </c>
      <c r="B6" s="823">
        <f>M6-M6*$D$69</f>
        <v>0</v>
      </c>
      <c r="C6" s="1114">
        <f>'[1]Budynki komunalne - emisja'!$D$6:$D$14</f>
        <v>338.42</v>
      </c>
      <c r="D6" s="824">
        <f>$B$6*Wskazniki!B37</f>
        <v>0</v>
      </c>
      <c r="E6" s="824">
        <f>$B$6*Wskazniki!C37</f>
        <v>0</v>
      </c>
      <c r="F6" s="824">
        <f>$B$6*Wskazniki!D37</f>
        <v>0</v>
      </c>
      <c r="G6" s="824">
        <f>$B$6*Wskazniki!E37</f>
        <v>0</v>
      </c>
      <c r="H6" s="824">
        <f>$B$6*Wskazniki!F37</f>
        <v>0</v>
      </c>
      <c r="I6" s="824">
        <f>$B$6*Wskazniki!G37</f>
        <v>0</v>
      </c>
      <c r="J6" s="824">
        <f>$B$6*Wskazniki!H37</f>
        <v>0</v>
      </c>
      <c r="L6" s="814" t="s">
        <v>479</v>
      </c>
      <c r="M6" s="825">
        <f>N6*$M$16</f>
        <v>0</v>
      </c>
      <c r="N6" s="826">
        <f>O6</f>
        <v>0</v>
      </c>
      <c r="O6" s="947">
        <v>0</v>
      </c>
      <c r="Q6" s="879">
        <f>B6+S6</f>
        <v>0</v>
      </c>
      <c r="R6" s="814" t="s">
        <v>479</v>
      </c>
      <c r="S6" s="823">
        <f t="shared" ref="S6:S14" si="0">M6*$D$69</f>
        <v>0</v>
      </c>
      <c r="T6" s="1114"/>
      <c r="U6" s="884">
        <f>$S$6*Wskazniki!K37</f>
        <v>0</v>
      </c>
      <c r="V6" s="884">
        <f>$S$6*Wskazniki!L37</f>
        <v>0</v>
      </c>
      <c r="W6" s="884">
        <f>$S$6*Wskazniki!M37</f>
        <v>0</v>
      </c>
      <c r="X6" s="884">
        <f>$S$6*Wskazniki!N37</f>
        <v>0</v>
      </c>
      <c r="Y6" s="884">
        <f>$S$6*Wskazniki!O37</f>
        <v>0</v>
      </c>
      <c r="Z6" s="884">
        <f>$S$6*Wskazniki!P37</f>
        <v>0</v>
      </c>
      <c r="AA6" s="884">
        <f>$S$6*Wskazniki!Q37</f>
        <v>0</v>
      </c>
    </row>
    <row r="7" spans="1:27" ht="12.75">
      <c r="A7" s="814" t="s">
        <v>480</v>
      </c>
      <c r="B7" s="823">
        <f t="shared" ref="B7:B14" si="1">M7-M7*$D$69</f>
        <v>1811.6831529681479</v>
      </c>
      <c r="C7" s="1115"/>
      <c r="D7" s="824">
        <f>Wskazniki!B38*'2022 Emisja opti'!$B$7</f>
        <v>0</v>
      </c>
      <c r="E7" s="824">
        <f>Wskazniki!C38*'2022 Emisja opti'!$B$7</f>
        <v>0</v>
      </c>
      <c r="F7" s="824">
        <f>Wskazniki!D38*'2022 Emisja opti'!$B$7</f>
        <v>0</v>
      </c>
      <c r="G7" s="824">
        <f>Wskazniki!E38*'2022 Emisja opti'!$B$7</f>
        <v>0</v>
      </c>
      <c r="H7" s="824">
        <f>Wskazniki!F38*'2022 Emisja opti'!$B$7</f>
        <v>0</v>
      </c>
      <c r="I7" s="824">
        <f>Wskazniki!G38*'2022 Emisja opti'!$B$7</f>
        <v>0</v>
      </c>
      <c r="J7" s="824">
        <f>Wskazniki!H38*'2022 Emisja opti'!$B$7</f>
        <v>0</v>
      </c>
      <c r="L7" s="814" t="str">
        <f>A7</f>
        <v>sieć ciepłownicza</v>
      </c>
      <c r="M7" s="825">
        <f t="shared" ref="M7:M15" si="2">N7*$M$16</f>
        <v>2991.668769584825</v>
      </c>
      <c r="N7" s="826">
        <v>0.4</v>
      </c>
      <c r="O7" s="947">
        <v>0.36411495265381666</v>
      </c>
      <c r="Q7" s="879">
        <f t="shared" ref="Q7:Q14" si="3">B7+S7</f>
        <v>2991.668769584825</v>
      </c>
      <c r="R7" s="814" t="s">
        <v>480</v>
      </c>
      <c r="S7" s="823">
        <f t="shared" si="0"/>
        <v>1179.9856166166771</v>
      </c>
      <c r="T7" s="1115"/>
      <c r="U7" s="824">
        <f>Wskazniki!AA38*'2032 Emisja opti'!$B$7</f>
        <v>0</v>
      </c>
      <c r="V7" s="824">
        <f>Wskazniki!AB38*'2032 Emisja opti'!$B$7</f>
        <v>0</v>
      </c>
      <c r="W7" s="824">
        <f>Wskazniki!AC38*'2032 Emisja opti'!$B$7</f>
        <v>0</v>
      </c>
      <c r="X7" s="824">
        <f>Wskazniki!AD38*'2032 Emisja opti'!$B$7</f>
        <v>0</v>
      </c>
      <c r="Y7" s="824">
        <f>Wskazniki!AE38*'2032 Emisja opti'!$B$7</f>
        <v>0</v>
      </c>
      <c r="Z7" s="824">
        <f>Wskazniki!AF38*'2032 Emisja opti'!$B$7</f>
        <v>0</v>
      </c>
      <c r="AA7" s="824">
        <f>Wskazniki!AG38*'2032 Emisja opti'!$B$7</f>
        <v>0</v>
      </c>
    </row>
    <row r="8" spans="1:27" ht="15" customHeight="1">
      <c r="A8" s="814" t="s">
        <v>331</v>
      </c>
      <c r="B8" s="823">
        <f>M8-M8*$D$69</f>
        <v>1268.1782070777035</v>
      </c>
      <c r="C8" s="1115"/>
      <c r="D8" s="824">
        <f>$B$8*Wskazniki!B39</f>
        <v>6.3408910353885176E-4</v>
      </c>
      <c r="E8" s="824">
        <f>$B$8*Wskazniki!C39</f>
        <v>6.3408910353885176E-4</v>
      </c>
      <c r="F8" s="824">
        <f>$B$8*Wskazniki!D39</f>
        <v>70.78970751907741</v>
      </c>
      <c r="G8" s="824">
        <f>$B$8*Wskazniki!E39</f>
        <v>0</v>
      </c>
      <c r="H8" s="824">
        <f>$B$8*Wskazniki!F39</f>
        <v>6.3408910353885176E-4</v>
      </c>
      <c r="I8" s="824">
        <f>$B$8*Wskazniki!G39</f>
        <v>6.3408910353885184E-2</v>
      </c>
      <c r="J8" s="824">
        <f>$B$8*Wskazniki!H39</f>
        <v>9.5113365530827762E-3</v>
      </c>
      <c r="L8" s="814" t="s">
        <v>331</v>
      </c>
      <c r="M8" s="825">
        <f>N8*$M$16</f>
        <v>2094.1681387093772</v>
      </c>
      <c r="N8" s="826">
        <v>0.28000000000000003</v>
      </c>
      <c r="O8" s="947">
        <v>0.22591803780403244</v>
      </c>
      <c r="Q8" s="879">
        <f t="shared" si="3"/>
        <v>2094.1681387093772</v>
      </c>
      <c r="R8" s="814" t="s">
        <v>331</v>
      </c>
      <c r="S8" s="823">
        <f t="shared" si="0"/>
        <v>825.98993163167381</v>
      </c>
      <c r="T8" s="1115"/>
      <c r="U8" s="824">
        <f>$S$8*Wskazniki!B39</f>
        <v>4.1299496581583689E-4</v>
      </c>
      <c r="V8" s="824">
        <f>$S$8*Wskazniki!C39</f>
        <v>4.1299496581583689E-4</v>
      </c>
      <c r="W8" s="824">
        <f>$S$8*Wskazniki!D39</f>
        <v>46.106757983680033</v>
      </c>
      <c r="X8" s="824">
        <f>$S$8*Wskazniki!E39</f>
        <v>0</v>
      </c>
      <c r="Y8" s="824">
        <f>$S$8*Wskazniki!F39</f>
        <v>4.1299496581583689E-4</v>
      </c>
      <c r="Z8" s="824">
        <f>$S$8*Wskazniki!G39</f>
        <v>4.1299496581583696E-2</v>
      </c>
      <c r="AA8" s="824">
        <f>$S$8*Wskazniki!H39</f>
        <v>6.1949244872375533E-3</v>
      </c>
    </row>
    <row r="9" spans="1:27" ht="12.75">
      <c r="A9" s="814" t="s">
        <v>335</v>
      </c>
      <c r="B9" s="823">
        <f t="shared" si="1"/>
        <v>0</v>
      </c>
      <c r="C9" s="1115"/>
      <c r="D9" s="824">
        <f>$B$9*Wskazniki!B40</f>
        <v>0</v>
      </c>
      <c r="E9" s="824">
        <f>$B$9*Wskazniki!C40</f>
        <v>0</v>
      </c>
      <c r="F9" s="824">
        <f>$B$9*Wskazniki!D40</f>
        <v>0</v>
      </c>
      <c r="G9" s="824">
        <f>$B$9*Wskazniki!E40</f>
        <v>0</v>
      </c>
      <c r="H9" s="824">
        <f>$B$9*Wskazniki!F40</f>
        <v>0</v>
      </c>
      <c r="I9" s="824">
        <f>$B$9*Wskazniki!G40</f>
        <v>0</v>
      </c>
      <c r="J9" s="824">
        <f>$B$9*Wskazniki!H40</f>
        <v>0</v>
      </c>
      <c r="L9" s="814" t="s">
        <v>335</v>
      </c>
      <c r="M9" s="825">
        <f t="shared" si="2"/>
        <v>0</v>
      </c>
      <c r="N9" s="826">
        <f t="shared" ref="N9:N12" si="4">O9</f>
        <v>0</v>
      </c>
      <c r="O9" s="947">
        <v>0</v>
      </c>
      <c r="Q9" s="879">
        <f t="shared" si="3"/>
        <v>0</v>
      </c>
      <c r="R9" s="814" t="s">
        <v>335</v>
      </c>
      <c r="S9" s="823">
        <f t="shared" si="0"/>
        <v>0</v>
      </c>
      <c r="T9" s="1115"/>
      <c r="U9" s="884">
        <f>$S$9*Wskazniki!K40</f>
        <v>0</v>
      </c>
      <c r="V9" s="884">
        <f>$S$9*Wskazniki!L40</f>
        <v>0</v>
      </c>
      <c r="W9" s="884">
        <f>$S$9*Wskazniki!M40</f>
        <v>0</v>
      </c>
      <c r="X9" s="884">
        <f>$S$9*Wskazniki!N40</f>
        <v>0</v>
      </c>
      <c r="Y9" s="884">
        <f>$S$9*Wskazniki!O40</f>
        <v>0</v>
      </c>
      <c r="Z9" s="884">
        <f>$S$9*Wskazniki!P40</f>
        <v>0</v>
      </c>
      <c r="AA9" s="884">
        <f>$S$9*Wskazniki!Q40</f>
        <v>0</v>
      </c>
    </row>
    <row r="10" spans="1:27" ht="12.75">
      <c r="A10" s="814" t="s">
        <v>337</v>
      </c>
      <c r="B10" s="823">
        <f t="shared" si="1"/>
        <v>0</v>
      </c>
      <c r="C10" s="1115"/>
      <c r="D10" s="824">
        <f>$B$10*Wskazniki!B41</f>
        <v>0</v>
      </c>
      <c r="E10" s="824">
        <f>$B$10*Wskazniki!C41</f>
        <v>0</v>
      </c>
      <c r="F10" s="824">
        <f>$B$10*Wskazniki!D41</f>
        <v>0</v>
      </c>
      <c r="G10" s="824">
        <f>$B$10*Wskazniki!E41</f>
        <v>0</v>
      </c>
      <c r="H10" s="824">
        <f>$B$10*Wskazniki!F41</f>
        <v>0</v>
      </c>
      <c r="I10" s="824">
        <f>$B$10*Wskazniki!G41</f>
        <v>0</v>
      </c>
      <c r="J10" s="824">
        <f>$B$10*Wskazniki!H41</f>
        <v>0</v>
      </c>
      <c r="L10" s="814" t="s">
        <v>337</v>
      </c>
      <c r="M10" s="825">
        <f t="shared" si="2"/>
        <v>0</v>
      </c>
      <c r="N10" s="826">
        <f t="shared" si="4"/>
        <v>0</v>
      </c>
      <c r="O10" s="947">
        <v>0</v>
      </c>
      <c r="Q10" s="879">
        <f t="shared" si="3"/>
        <v>0</v>
      </c>
      <c r="R10" s="814" t="s">
        <v>337</v>
      </c>
      <c r="S10" s="823">
        <f t="shared" si="0"/>
        <v>0</v>
      </c>
      <c r="T10" s="1115"/>
      <c r="U10" s="884">
        <f>$S$10*Wskazniki!K41</f>
        <v>0</v>
      </c>
      <c r="V10" s="884">
        <f>$S$10*Wskazniki!L41</f>
        <v>0</v>
      </c>
      <c r="W10" s="884">
        <f>$S$10*Wskazniki!M41</f>
        <v>0</v>
      </c>
      <c r="X10" s="884">
        <f>$S$10*Wskazniki!N41</f>
        <v>0</v>
      </c>
      <c r="Y10" s="884">
        <f>$S$10*Wskazniki!O41</f>
        <v>0</v>
      </c>
      <c r="Z10" s="884">
        <f>$S$10*Wskazniki!P41</f>
        <v>0</v>
      </c>
      <c r="AA10" s="884">
        <f>$S$10*Wskazniki!Q41</f>
        <v>0</v>
      </c>
    </row>
    <row r="11" spans="1:27" ht="12.75">
      <c r="A11" s="814" t="s">
        <v>338</v>
      </c>
      <c r="B11" s="823">
        <f t="shared" si="1"/>
        <v>1177.5940494292954</v>
      </c>
      <c r="C11" s="1115"/>
      <c r="D11" s="824">
        <f>$B$11*Wskazniki!B42</f>
        <v>3.5327821482878862E-3</v>
      </c>
      <c r="E11" s="824">
        <f>$B$11*Wskazniki!C42</f>
        <v>3.5327821482878862E-3</v>
      </c>
      <c r="F11" s="824">
        <f>$B$11*Wskazniki!D42</f>
        <v>90.19192824578974</v>
      </c>
      <c r="G11" s="824">
        <f>$B$11*Wskazniki!E42</f>
        <v>1.1775940494292954E-5</v>
      </c>
      <c r="H11" s="824">
        <f>$B$11*Wskazniki!F42</f>
        <v>0.16486316692010133</v>
      </c>
      <c r="I11" s="824">
        <f>$B$11*Wskazniki!G42</f>
        <v>8.2431583460050667E-2</v>
      </c>
      <c r="J11" s="824">
        <f>$B$11*Wskazniki!H42</f>
        <v>1.9140088390553481E-2</v>
      </c>
      <c r="L11" s="814" t="s">
        <v>587</v>
      </c>
      <c r="M11" s="825">
        <f t="shared" si="2"/>
        <v>1944.5847002301352</v>
      </c>
      <c r="N11" s="826">
        <f>100%-N6-N7-N8-N9-N12-N13-N14</f>
        <v>0.2599999999999999</v>
      </c>
      <c r="O11" s="947">
        <v>0.37399870527523604</v>
      </c>
      <c r="Q11" s="879">
        <f t="shared" si="3"/>
        <v>1944.5847002301352</v>
      </c>
      <c r="R11" s="814" t="s">
        <v>338</v>
      </c>
      <c r="S11" s="823">
        <f t="shared" si="0"/>
        <v>766.99065080083972</v>
      </c>
      <c r="T11" s="1115"/>
      <c r="U11" s="824">
        <f>$S$11*Wskazniki!K42</f>
        <v>2.300971952402519E-3</v>
      </c>
      <c r="V11" s="824">
        <f>$S$11*Wskazniki!L42</f>
        <v>2.300971952402519E-3</v>
      </c>
      <c r="W11" s="824">
        <f>$S$11*Wskazniki!M42</f>
        <v>58.743813944836319</v>
      </c>
      <c r="X11" s="824">
        <f>$S$11*Wskazniki!N42</f>
        <v>7.669906508008397E-6</v>
      </c>
      <c r="Y11" s="824">
        <f>$S$11*Wskazniki!O42</f>
        <v>0.10737869111211755</v>
      </c>
      <c r="Z11" s="824">
        <f>$S$11*Wskazniki!P42</f>
        <v>5.3689345556058775E-2</v>
      </c>
      <c r="AA11" s="824">
        <f>$S$11*Wskazniki!Q42</f>
        <v>1.2466323906927689E-2</v>
      </c>
    </row>
    <row r="12" spans="1:27" ht="15" customHeight="1">
      <c r="A12" s="814" t="s">
        <v>531</v>
      </c>
      <c r="B12" s="958">
        <f t="shared" si="1"/>
        <v>0</v>
      </c>
      <c r="C12" s="1115"/>
      <c r="D12" s="824">
        <v>0</v>
      </c>
      <c r="E12" s="824">
        <v>0</v>
      </c>
      <c r="F12" s="960">
        <f>(C6*Wskazniki!D43)+(B12+M12)*Wskazniki!D43</f>
        <v>274.79704000000004</v>
      </c>
      <c r="G12" s="824">
        <v>0</v>
      </c>
      <c r="H12" s="824">
        <v>0</v>
      </c>
      <c r="I12" s="824">
        <v>0</v>
      </c>
      <c r="J12" s="824">
        <v>0</v>
      </c>
      <c r="L12" s="814" t="s">
        <v>531</v>
      </c>
      <c r="M12" s="959">
        <f t="shared" si="2"/>
        <v>0</v>
      </c>
      <c r="N12" s="826">
        <f t="shared" si="4"/>
        <v>0</v>
      </c>
      <c r="O12" s="947">
        <v>0</v>
      </c>
      <c r="Q12" s="879">
        <f t="shared" si="3"/>
        <v>0</v>
      </c>
      <c r="R12" s="814" t="s">
        <v>531</v>
      </c>
      <c r="S12" s="823">
        <f t="shared" si="0"/>
        <v>0</v>
      </c>
      <c r="T12" s="1115"/>
      <c r="U12" s="824">
        <v>0</v>
      </c>
      <c r="V12" s="824">
        <v>0</v>
      </c>
      <c r="W12" s="824">
        <f>(T6*Wskazniki!AC43)</f>
        <v>0</v>
      </c>
      <c r="X12" s="824">
        <v>0</v>
      </c>
      <c r="Y12" s="824">
        <v>0</v>
      </c>
      <c r="Z12" s="824">
        <v>0</v>
      </c>
      <c r="AA12" s="824">
        <v>0</v>
      </c>
    </row>
    <row r="13" spans="1:27" ht="12.75">
      <c r="A13" s="831" t="s">
        <v>588</v>
      </c>
      <c r="B13" s="823">
        <f t="shared" si="1"/>
        <v>158.52227588471294</v>
      </c>
      <c r="C13" s="1115"/>
      <c r="D13" s="824"/>
      <c r="E13" s="824"/>
      <c r="F13" s="824"/>
      <c r="G13" s="824"/>
      <c r="H13" s="824"/>
      <c r="I13" s="824"/>
      <c r="J13" s="824"/>
      <c r="L13" s="814" t="s">
        <v>482</v>
      </c>
      <c r="M13" s="825">
        <f t="shared" si="2"/>
        <v>261.77101733867215</v>
      </c>
      <c r="N13" s="826">
        <v>3.5000000000000003E-2</v>
      </c>
      <c r="O13" s="947">
        <v>2.2001626045408434E-2</v>
      </c>
      <c r="Q13" s="879">
        <f t="shared" si="3"/>
        <v>261.77101733867215</v>
      </c>
      <c r="R13" s="831" t="s">
        <v>539</v>
      </c>
      <c r="S13" s="823">
        <f t="shared" si="0"/>
        <v>103.24874145395923</v>
      </c>
      <c r="T13" s="1115"/>
      <c r="U13" s="824"/>
      <c r="V13" s="824"/>
      <c r="W13" s="824"/>
      <c r="X13" s="824"/>
      <c r="Y13" s="824"/>
      <c r="Z13" s="824"/>
      <c r="AA13" s="824"/>
    </row>
    <row r="14" spans="1:27">
      <c r="A14" s="831" t="str">
        <f>L14</f>
        <v>OŹE (pompy ciepła)</v>
      </c>
      <c r="B14" s="823">
        <f t="shared" si="1"/>
        <v>113.23019706050924</v>
      </c>
      <c r="C14" s="1116"/>
      <c r="D14" s="824"/>
      <c r="E14" s="824"/>
      <c r="F14" s="824"/>
      <c r="G14" s="824"/>
      <c r="H14" s="824"/>
      <c r="I14" s="824"/>
      <c r="J14" s="824"/>
      <c r="L14" s="814" t="s">
        <v>589</v>
      </c>
      <c r="M14" s="825">
        <f t="shared" si="2"/>
        <v>186.97929809905156</v>
      </c>
      <c r="N14" s="826">
        <v>2.5000000000000001E-2</v>
      </c>
      <c r="O14" s="946">
        <v>1.3966678221506474E-2</v>
      </c>
      <c r="Q14" s="879">
        <f t="shared" si="3"/>
        <v>186.97929809905156</v>
      </c>
      <c r="R14" s="831" t="s">
        <v>597</v>
      </c>
      <c r="S14" s="823">
        <f t="shared" si="0"/>
        <v>73.749101038542321</v>
      </c>
      <c r="T14" s="1116"/>
      <c r="U14" s="824"/>
      <c r="V14" s="824"/>
      <c r="W14" s="824"/>
      <c r="X14" s="824"/>
      <c r="Y14" s="824"/>
      <c r="Z14" s="824"/>
      <c r="AA14" s="824"/>
    </row>
    <row r="15" spans="1:27">
      <c r="A15" s="832" t="s">
        <v>590</v>
      </c>
      <c r="B15" s="833">
        <f>SUM(B6:B14)</f>
        <v>4529.2078824203691</v>
      </c>
      <c r="C15" s="834">
        <f>C6</f>
        <v>338.42</v>
      </c>
      <c r="D15" s="835">
        <f>SUM(D6:D14)</f>
        <v>4.1668712518267382E-3</v>
      </c>
      <c r="E15" s="835">
        <f t="shared" ref="E15:J15" si="5">SUM(E6:E14)</f>
        <v>4.1668712518267382E-3</v>
      </c>
      <c r="F15" s="835">
        <f>SUM(F6:F14)</f>
        <v>435.77867576486722</v>
      </c>
      <c r="G15" s="836">
        <f t="shared" si="5"/>
        <v>1.1775940494292954E-5</v>
      </c>
      <c r="H15" s="835">
        <f t="shared" si="5"/>
        <v>0.16549725602364018</v>
      </c>
      <c r="I15" s="835">
        <f t="shared" si="5"/>
        <v>0.14584049381393585</v>
      </c>
      <c r="J15" s="835">
        <f t="shared" si="5"/>
        <v>2.8651424943636258E-2</v>
      </c>
      <c r="L15" s="829"/>
      <c r="M15" s="825">
        <f t="shared" si="2"/>
        <v>0</v>
      </c>
      <c r="N15" s="829"/>
      <c r="O15" s="945"/>
      <c r="Q15" s="879">
        <f>SUM(Q6:Q14)</f>
        <v>7479.1719239620616</v>
      </c>
      <c r="R15" s="832" t="s">
        <v>590</v>
      </c>
      <c r="S15" s="833">
        <f>SUM(S6:S14)</f>
        <v>2949.9640415416925</v>
      </c>
      <c r="T15" s="834">
        <f>T6</f>
        <v>0</v>
      </c>
      <c r="U15" s="885">
        <f>SUM(U6:U14)</f>
        <v>2.7139669182183559E-3</v>
      </c>
      <c r="V15" s="885">
        <f t="shared" ref="V15:AA15" si="6">SUM(V6:V14)</f>
        <v>2.7139669182183559E-3</v>
      </c>
      <c r="W15" s="885">
        <f t="shared" si="6"/>
        <v>104.85057192851636</v>
      </c>
      <c r="X15" s="885">
        <f t="shared" si="6"/>
        <v>7.669906508008397E-6</v>
      </c>
      <c r="Y15" s="885">
        <f t="shared" si="6"/>
        <v>0.10779168607793338</v>
      </c>
      <c r="Z15" s="885">
        <f t="shared" si="6"/>
        <v>9.4988842137642471E-2</v>
      </c>
      <c r="AA15" s="885">
        <f t="shared" si="6"/>
        <v>1.866124839416524E-2</v>
      </c>
    </row>
    <row r="16" spans="1:27">
      <c r="B16" s="837"/>
      <c r="D16" s="838">
        <f>D15</f>
        <v>4.1668712518267382E-3</v>
      </c>
      <c r="E16" s="838">
        <f>E15</f>
        <v>4.1668712518267382E-3</v>
      </c>
      <c r="F16" s="815">
        <f>F15/100</f>
        <v>4.3577867576486717</v>
      </c>
      <c r="G16" s="838">
        <f>G15</f>
        <v>1.1775940494292954E-5</v>
      </c>
      <c r="H16" s="838">
        <f>H15</f>
        <v>0.16549725602364018</v>
      </c>
      <c r="I16" s="838">
        <f>I15</f>
        <v>0.14584049381393585</v>
      </c>
      <c r="J16" s="838">
        <f>J15</f>
        <v>2.8651424943636258E-2</v>
      </c>
      <c r="L16" s="829" t="s">
        <v>297</v>
      </c>
      <c r="M16" s="839">
        <f>OPTI!R23</f>
        <v>7479.1719239620616</v>
      </c>
      <c r="N16" s="840">
        <f>SUM(N6:N15)</f>
        <v>1</v>
      </c>
      <c r="O16" s="841">
        <f>SUM(O6:O15)</f>
        <v>1</v>
      </c>
      <c r="S16" s="837"/>
      <c r="U16" s="838"/>
      <c r="V16" s="838"/>
      <c r="X16" s="838"/>
      <c r="Y16" s="838"/>
      <c r="Z16" s="838"/>
      <c r="AA16" s="838"/>
    </row>
    <row r="17" spans="1:27" ht="9.75" customHeight="1">
      <c r="A17" s="1124"/>
      <c r="B17" s="1124"/>
      <c r="C17" s="1124"/>
      <c r="D17" s="1124"/>
      <c r="E17" s="1124"/>
      <c r="F17" s="1124"/>
      <c r="G17" s="1124"/>
      <c r="H17" s="1124"/>
      <c r="I17" s="1124"/>
      <c r="J17" s="1124"/>
      <c r="K17" s="1124"/>
      <c r="L17" s="1124"/>
      <c r="M17" s="1124"/>
      <c r="N17" s="1124"/>
      <c r="O17" s="1124"/>
    </row>
    <row r="18" spans="1:27" ht="15">
      <c r="A18" s="1117" t="s">
        <v>307</v>
      </c>
      <c r="B18" s="1117"/>
      <c r="C18" s="1117"/>
      <c r="D18" s="1117"/>
      <c r="E18" s="1117"/>
      <c r="F18" s="1117"/>
      <c r="G18" s="1117"/>
      <c r="H18" s="1117"/>
      <c r="I18" s="1117"/>
      <c r="J18" s="1117"/>
      <c r="R18" s="1117" t="s">
        <v>307</v>
      </c>
      <c r="S18" s="1117"/>
      <c r="T18" s="1117"/>
      <c r="U18" s="1117"/>
      <c r="V18" s="1117"/>
      <c r="W18" s="1117"/>
      <c r="X18" s="1117"/>
      <c r="Y18" s="1117"/>
      <c r="Z18" s="1117"/>
      <c r="AA18" s="1117"/>
    </row>
    <row r="19" spans="1:27">
      <c r="A19" s="1118" t="s">
        <v>582</v>
      </c>
      <c r="B19" s="1118"/>
      <c r="C19" s="1118"/>
      <c r="D19" s="1119" t="s">
        <v>583</v>
      </c>
      <c r="E19" s="1119"/>
      <c r="F19" s="1119"/>
      <c r="G19" s="1119"/>
      <c r="H19" s="1119"/>
      <c r="I19" s="1119"/>
      <c r="J19" s="1119"/>
      <c r="R19" s="1118" t="s">
        <v>582</v>
      </c>
      <c r="S19" s="1118"/>
      <c r="T19" s="1118"/>
      <c r="U19" s="1119" t="s">
        <v>583</v>
      </c>
      <c r="V19" s="1119"/>
      <c r="W19" s="1119"/>
      <c r="X19" s="1119"/>
      <c r="Y19" s="1119"/>
      <c r="Z19" s="1119"/>
      <c r="AA19" s="1119"/>
    </row>
    <row r="20" spans="1:27" s="816" customFormat="1" ht="46.5" customHeight="1">
      <c r="A20" s="1120" t="s">
        <v>516</v>
      </c>
      <c r="B20" s="1122" t="s">
        <v>591</v>
      </c>
      <c r="C20" s="1120" t="s">
        <v>594</v>
      </c>
      <c r="D20" s="1119"/>
      <c r="E20" s="1119"/>
      <c r="F20" s="1119"/>
      <c r="G20" s="1119"/>
      <c r="H20" s="1119"/>
      <c r="I20" s="1119"/>
      <c r="J20" s="1119"/>
      <c r="L20" s="1125" t="s">
        <v>592</v>
      </c>
      <c r="M20" s="1125"/>
      <c r="N20" s="1125"/>
      <c r="O20" s="817" t="s">
        <v>593</v>
      </c>
      <c r="P20" s="818"/>
      <c r="R20" s="1120" t="s">
        <v>516</v>
      </c>
      <c r="S20" s="1122" t="s">
        <v>591</v>
      </c>
      <c r="T20" s="1120" t="s">
        <v>594</v>
      </c>
      <c r="U20" s="1119"/>
      <c r="V20" s="1119"/>
      <c r="W20" s="1119"/>
      <c r="X20" s="1119"/>
      <c r="Y20" s="1119"/>
      <c r="Z20" s="1119"/>
      <c r="AA20" s="1119"/>
    </row>
    <row r="21" spans="1:27" s="816" customFormat="1" ht="14.25" customHeight="1">
      <c r="A21" s="1121"/>
      <c r="B21" s="1122"/>
      <c r="C21" s="1121"/>
      <c r="D21" s="819" t="s">
        <v>560</v>
      </c>
      <c r="E21" s="819" t="s">
        <v>561</v>
      </c>
      <c r="F21" s="819" t="s">
        <v>584</v>
      </c>
      <c r="G21" s="819" t="s">
        <v>461</v>
      </c>
      <c r="H21" s="819" t="s">
        <v>569</v>
      </c>
      <c r="I21" s="820" t="s">
        <v>571</v>
      </c>
      <c r="J21" s="819" t="s">
        <v>363</v>
      </c>
      <c r="L21" s="822" t="s">
        <v>585</v>
      </c>
      <c r="M21" s="822" t="s">
        <v>586</v>
      </c>
      <c r="N21" s="822">
        <v>2020</v>
      </c>
      <c r="O21" s="821">
        <v>2016</v>
      </c>
      <c r="R21" s="1121"/>
      <c r="S21" s="1122"/>
      <c r="T21" s="1121"/>
      <c r="U21" s="819" t="s">
        <v>560</v>
      </c>
      <c r="V21" s="819" t="s">
        <v>561</v>
      </c>
      <c r="W21" s="819" t="s">
        <v>584</v>
      </c>
      <c r="X21" s="819" t="s">
        <v>461</v>
      </c>
      <c r="Y21" s="819" t="s">
        <v>569</v>
      </c>
      <c r="Z21" s="820" t="s">
        <v>571</v>
      </c>
      <c r="AA21" s="819" t="s">
        <v>363</v>
      </c>
    </row>
    <row r="22" spans="1:27" ht="15" customHeight="1">
      <c r="A22" s="814" t="s">
        <v>479</v>
      </c>
      <c r="B22" s="823">
        <f>M22-M22*$D$70</f>
        <v>164518.72700554953</v>
      </c>
      <c r="C22" s="1114">
        <f>'[1]Mieszk. jednorodz. - emisja'!$D$6</f>
        <v>4990.8</v>
      </c>
      <c r="D22" s="824">
        <f>$B$22*Wskazniki!B37</f>
        <v>37.016713576248641</v>
      </c>
      <c r="E22" s="824">
        <f>$B$22*Wskazniki!C37</f>
        <v>33.068264128115459</v>
      </c>
      <c r="F22" s="824">
        <f>$B$22*Wskazniki!D37</f>
        <v>15421.985469500212</v>
      </c>
      <c r="G22" s="824">
        <f>$B$22*Wskazniki!E37</f>
        <v>4.4420056291498373E-2</v>
      </c>
      <c r="H22" s="824">
        <f>$B$22*Wskazniki!F37</f>
        <v>148.06685430499456</v>
      </c>
      <c r="I22" s="824">
        <f>$B$22*Wskazniki!G37</f>
        <v>25.993958866876824</v>
      </c>
      <c r="J22" s="824">
        <f>$B$22*Wskazniki!H37</f>
        <v>330.94960729770804</v>
      </c>
      <c r="L22" s="814" t="s">
        <v>479</v>
      </c>
      <c r="M22" s="825">
        <f t="shared" ref="M22:M29" si="7">N22*$M$32</f>
        <v>187668.18660296127</v>
      </c>
      <c r="N22" s="950">
        <f>100%-N23-N24-N25-N26-N27-N28-N29-N30</f>
        <v>0.73619018101272515</v>
      </c>
      <c r="O22" s="951">
        <v>0.76</v>
      </c>
      <c r="Q22" s="879">
        <f>B22+S22</f>
        <v>187668.18660296127</v>
      </c>
      <c r="R22" s="814" t="str">
        <f>R6</f>
        <v>węgiel</v>
      </c>
      <c r="S22" s="823">
        <f t="shared" ref="S22:S30" si="8">M22*$D$70</f>
        <v>23149.459597411736</v>
      </c>
      <c r="T22" s="1114"/>
      <c r="U22" s="884">
        <f>$S$22*Wskazniki!K37</f>
        <v>1.8056578485981154</v>
      </c>
      <c r="V22" s="884">
        <f>$S$22*Wskazniki!L37</f>
        <v>1.6204621718188215</v>
      </c>
      <c r="W22" s="884">
        <f>$S$22*Wskazniki!M37</f>
        <v>2.1700303426613758</v>
      </c>
      <c r="X22" s="884">
        <f>$S$22*Wskazniki!N37</f>
        <v>1.8288073081955273E-3</v>
      </c>
      <c r="Y22" s="884">
        <f>$S$22*Wskazniki!O37</f>
        <v>10.417256818835281</v>
      </c>
      <c r="Z22" s="884">
        <f>$S$22*Wskazniki!P37</f>
        <v>3.6576146163910543</v>
      </c>
      <c r="AA22" s="884">
        <f>$S$22*Wskazniki!Q37</f>
        <v>0</v>
      </c>
    </row>
    <row r="23" spans="1:27">
      <c r="A23" s="814" t="s">
        <v>480</v>
      </c>
      <c r="B23" s="823">
        <f t="shared" ref="B23:B30" si="9">M23-M23*$D$70</f>
        <v>0</v>
      </c>
      <c r="C23" s="1115"/>
      <c r="D23" s="824">
        <f>Wskazniki!B38*'2022 Emisja opti'!$B$23</f>
        <v>0</v>
      </c>
      <c r="E23" s="824">
        <f>Wskazniki!C38*'2022 Emisja opti'!$B$23</f>
        <v>0</v>
      </c>
      <c r="F23" s="824">
        <f>Wskazniki!D38*'2022 Emisja opti'!$B$23</f>
        <v>0</v>
      </c>
      <c r="G23" s="824">
        <f>Wskazniki!E38*'2022 Emisja opti'!$B$23</f>
        <v>0</v>
      </c>
      <c r="H23" s="824">
        <f>Wskazniki!F38*'2022 Emisja opti'!$B$23</f>
        <v>0</v>
      </c>
      <c r="I23" s="824">
        <f>Wskazniki!G38*'2022 Emisja opti'!$B$23</f>
        <v>0</v>
      </c>
      <c r="J23" s="824">
        <f>Wskazniki!H38*'2022 Emisja opti'!$B$23</f>
        <v>0</v>
      </c>
      <c r="L23" s="814" t="str">
        <f>A23</f>
        <v>sieć ciepłownicza</v>
      </c>
      <c r="M23" s="825">
        <f t="shared" si="7"/>
        <v>0</v>
      </c>
      <c r="N23" s="950">
        <f t="shared" ref="N23:N25" si="10">O23</f>
        <v>0</v>
      </c>
      <c r="O23" s="871">
        <v>0</v>
      </c>
      <c r="Q23" s="879">
        <f t="shared" ref="Q23:Q30" si="11">B23+S23</f>
        <v>0</v>
      </c>
      <c r="R23" s="814" t="str">
        <f t="shared" ref="R23:R30" si="12">R7</f>
        <v>sieć ciepłownicza</v>
      </c>
      <c r="S23" s="823">
        <f t="shared" si="8"/>
        <v>0</v>
      </c>
      <c r="T23" s="1115"/>
      <c r="U23" s="824">
        <f>Wskazniki!AA38*'2032 Emisja opti'!$B$23</f>
        <v>0</v>
      </c>
      <c r="V23" s="824">
        <f>Wskazniki!AB38*'2032 Emisja opti'!$B$23</f>
        <v>0</v>
      </c>
      <c r="W23" s="824">
        <f>Wskazniki!AC38*'2032 Emisja opti'!$B$23</f>
        <v>0</v>
      </c>
      <c r="X23" s="824">
        <f>Wskazniki!AD38*'2032 Emisja opti'!$B$23</f>
        <v>0</v>
      </c>
      <c r="Y23" s="824">
        <f>Wskazniki!AE38*'2032 Emisja opti'!$B$23</f>
        <v>0</v>
      </c>
      <c r="Z23" s="824">
        <f>Wskazniki!AF38*'2032 Emisja opti'!$B$23</f>
        <v>0</v>
      </c>
      <c r="AA23" s="824">
        <f>Wskazniki!AG38*'2032 Emisja opti'!$B$23</f>
        <v>0</v>
      </c>
    </row>
    <row r="24" spans="1:27" ht="15" customHeight="1">
      <c r="A24" s="814" t="s">
        <v>331</v>
      </c>
      <c r="B24" s="966">
        <f>(M24-M24*$D$70)*1.6</f>
        <v>32469.687762124831</v>
      </c>
      <c r="C24" s="1115"/>
      <c r="D24" s="824">
        <f>$B$24*Wskazniki!B39</f>
        <v>1.6234843881062416E-2</v>
      </c>
      <c r="E24" s="824">
        <f>$B$24*Wskazniki!C39</f>
        <v>1.6234843881062416E-2</v>
      </c>
      <c r="F24" s="824">
        <f>$B$24*Wskazniki!D39</f>
        <v>1812.457970881808</v>
      </c>
      <c r="G24" s="824">
        <f>$B$24*Wskazniki!E39</f>
        <v>0</v>
      </c>
      <c r="H24" s="824">
        <f>$B$24*Wskazniki!F39</f>
        <v>1.6234843881062416E-2</v>
      </c>
      <c r="I24" s="824">
        <f>$B$24*Wskazniki!G39</f>
        <v>1.6234843881062417</v>
      </c>
      <c r="J24" s="824">
        <f>$B$24*Wskazniki!H39</f>
        <v>0.24352265821593624</v>
      </c>
      <c r="L24" s="814" t="s">
        <v>331</v>
      </c>
      <c r="M24" s="967">
        <f>N24*$M$32</f>
        <v>23149.064595837714</v>
      </c>
      <c r="N24" s="950">
        <f>O24*P24</f>
        <v>9.0809818987274846E-2</v>
      </c>
      <c r="O24" s="952">
        <v>6.9853706913288335E-2</v>
      </c>
      <c r="P24" s="815">
        <v>1.3</v>
      </c>
      <c r="Q24" s="879">
        <f t="shared" si="11"/>
        <v>35325.197506634526</v>
      </c>
      <c r="R24" s="814" t="str">
        <f t="shared" si="12"/>
        <v>gaz</v>
      </c>
      <c r="S24" s="823">
        <f t="shared" si="8"/>
        <v>2855.5097445096944</v>
      </c>
      <c r="T24" s="1115"/>
      <c r="U24" s="973">
        <f>$S$24*Wskazniki!B39</f>
        <v>1.4277548722548472E-3</v>
      </c>
      <c r="V24" s="973">
        <f>$S$24*Wskazniki!C39</f>
        <v>1.4277548722548472E-3</v>
      </c>
      <c r="W24" s="973">
        <f>$S$24*Wskazniki!D39</f>
        <v>159.39455393853115</v>
      </c>
      <c r="X24" s="973">
        <f>$S$24*Wskazniki!E39</f>
        <v>0</v>
      </c>
      <c r="Y24" s="973">
        <f>$S$24*Wskazniki!F39</f>
        <v>1.4277548722548472E-3</v>
      </c>
      <c r="Z24" s="973">
        <f>$S$24*Wskazniki!G39</f>
        <v>0.14277548722548472</v>
      </c>
      <c r="AA24" s="973">
        <f>$S$24*Wskazniki!H39</f>
        <v>2.141632308382271E-2</v>
      </c>
    </row>
    <row r="25" spans="1:27">
      <c r="A25" s="814" t="s">
        <v>335</v>
      </c>
      <c r="B25" s="823">
        <f t="shared" si="9"/>
        <v>20112.58206423093</v>
      </c>
      <c r="C25" s="1115"/>
      <c r="D25" s="824">
        <f>$B$25*Wskazniki!B40</f>
        <v>9.6540393908308459</v>
      </c>
      <c r="E25" s="824">
        <f>$B$25*Wskazniki!C40</f>
        <v>9.452913570188537</v>
      </c>
      <c r="F25" s="824">
        <f>$B$25*Wskazniki!D40</f>
        <v>0</v>
      </c>
      <c r="G25" s="824">
        <f>$B$25*Wskazniki!E40</f>
        <v>2.4336224297719427E-3</v>
      </c>
      <c r="H25" s="824">
        <f>$B$25*Wskazniki!F40</f>
        <v>0.22123840270654022</v>
      </c>
      <c r="I25" s="824">
        <f>$B$25*Wskazniki!G40</f>
        <v>1.6090065651384746</v>
      </c>
      <c r="J25" s="824">
        <f>$B$25*Wskazniki!H40</f>
        <v>3.608197222323029</v>
      </c>
      <c r="L25" s="814" t="s">
        <v>335</v>
      </c>
      <c r="M25" s="825">
        <f t="shared" si="7"/>
        <v>22942.627095395295</v>
      </c>
      <c r="N25" s="950">
        <f t="shared" si="10"/>
        <v>0.09</v>
      </c>
      <c r="O25" s="952">
        <v>0.09</v>
      </c>
      <c r="Q25" s="879">
        <f t="shared" si="11"/>
        <v>22942.627095395295</v>
      </c>
      <c r="R25" s="814" t="str">
        <f t="shared" si="12"/>
        <v>drewno</v>
      </c>
      <c r="S25" s="823">
        <f t="shared" si="8"/>
        <v>2830.045031164364</v>
      </c>
      <c r="T25" s="1115"/>
      <c r="U25" s="884">
        <f>$S$25*Wskazniki!K40</f>
        <v>9.622153105958838E-5</v>
      </c>
      <c r="V25" s="884">
        <f>$S$25*Wskazniki!L40</f>
        <v>9.339148602842401E-5</v>
      </c>
      <c r="W25" s="884">
        <f>$S$25*Wskazniki!M40</f>
        <v>0</v>
      </c>
      <c r="X25" s="884">
        <f>$S$25*Wskazniki!N40</f>
        <v>2.8300450311643639E-5</v>
      </c>
      <c r="Y25" s="884">
        <f>$S$25*Wskazniki!O40</f>
        <v>3.1130495342807999E-5</v>
      </c>
      <c r="Z25" s="884">
        <f>$S$25*Wskazniki!P40</f>
        <v>0.22640360249314914</v>
      </c>
      <c r="AA25" s="884">
        <f>$S$25*Wskazniki!Q40</f>
        <v>0.15231302357726606</v>
      </c>
    </row>
    <row r="26" spans="1:27">
      <c r="A26" s="814" t="s">
        <v>337</v>
      </c>
      <c r="B26" s="823">
        <f t="shared" si="9"/>
        <v>8938.9253618804141</v>
      </c>
      <c r="C26" s="1115"/>
      <c r="D26" s="824">
        <f>$B$26*Wskazniki!B41</f>
        <v>4.2906841737025987</v>
      </c>
      <c r="E26" s="824">
        <f>$B$26*Wskazniki!C41</f>
        <v>4.2012949200837948</v>
      </c>
      <c r="F26" s="824">
        <f>$B$26*Wskazniki!D41</f>
        <v>0</v>
      </c>
      <c r="G26" s="824">
        <f>$B$26*Wskazniki!E41</f>
        <v>1.0816099687875303E-3</v>
      </c>
      <c r="H26" s="824">
        <f>$B$26*Wskazniki!F41</f>
        <v>9.832817898068455E-2</v>
      </c>
      <c r="I26" s="824">
        <f>$B$26*Wskazniki!G41</f>
        <v>0.71511402895043319</v>
      </c>
      <c r="J26" s="824">
        <f>$B$26*Wskazniki!H41</f>
        <v>1.6036432099213462</v>
      </c>
      <c r="L26" s="814" t="s">
        <v>337</v>
      </c>
      <c r="M26" s="825">
        <f t="shared" si="7"/>
        <v>10196.723153509021</v>
      </c>
      <c r="N26" s="950">
        <v>0.04</v>
      </c>
      <c r="O26" s="952">
        <v>3.0146293086711646E-2</v>
      </c>
      <c r="Q26" s="879">
        <f t="shared" si="11"/>
        <v>10196.723153509021</v>
      </c>
      <c r="R26" s="814" t="str">
        <f t="shared" si="12"/>
        <v>pelet</v>
      </c>
      <c r="S26" s="823">
        <f t="shared" si="8"/>
        <v>1257.7977916286063</v>
      </c>
      <c r="T26" s="1115"/>
      <c r="U26" s="884">
        <f>$S$26*Wskazniki!K41</f>
        <v>4.2765124915372616E-5</v>
      </c>
      <c r="V26" s="884">
        <f>$S$26*Wskazniki!L41</f>
        <v>4.1507327123744008E-5</v>
      </c>
      <c r="W26" s="884">
        <f>$S$26*Wskazniki!M41</f>
        <v>0</v>
      </c>
      <c r="X26" s="884">
        <f>$S$26*Wskazniki!N41</f>
        <v>1.2577977916286064E-5</v>
      </c>
      <c r="Y26" s="884">
        <f>$S$26*Wskazniki!O41</f>
        <v>1.3835775707914669E-5</v>
      </c>
      <c r="Z26" s="884">
        <f>$S$26*Wskazniki!P41</f>
        <v>0.10062382333028852</v>
      </c>
      <c r="AA26" s="884">
        <f>$S$26*Wskazniki!Q41</f>
        <v>6.769467714545159E-2</v>
      </c>
    </row>
    <row r="27" spans="1:27">
      <c r="A27" s="814" t="s">
        <v>338</v>
      </c>
      <c r="B27" s="823">
        <f t="shared" si="9"/>
        <v>4469.4626809402071</v>
      </c>
      <c r="C27" s="1115"/>
      <c r="D27" s="824">
        <f>$B$27*Wskazniki!B42</f>
        <v>1.3408388042820622E-2</v>
      </c>
      <c r="E27" s="824">
        <f>$B$27*Wskazniki!C42</f>
        <v>1.3408388042820622E-2</v>
      </c>
      <c r="F27" s="824">
        <f>$B$27*Wskazniki!D42</f>
        <v>342.31614673321047</v>
      </c>
      <c r="G27" s="824">
        <f>$B$27*Wskazniki!E42</f>
        <v>4.4694626809402074E-5</v>
      </c>
      <c r="H27" s="824">
        <f>$B$27*Wskazniki!F42</f>
        <v>0.62572477533162896</v>
      </c>
      <c r="I27" s="824">
        <f>$B$27*Wskazniki!G42</f>
        <v>0.31286238766581448</v>
      </c>
      <c r="J27" s="824">
        <f>$B$27*Wskazniki!H42</f>
        <v>7.2644652724709616E-2</v>
      </c>
      <c r="L27" s="814" t="s">
        <v>587</v>
      </c>
      <c r="M27" s="825">
        <f t="shared" si="7"/>
        <v>5098.3615767545107</v>
      </c>
      <c r="N27" s="950">
        <v>0.02</v>
      </c>
      <c r="O27" s="952">
        <v>3.5999999999999997E-2</v>
      </c>
      <c r="Q27" s="879">
        <f t="shared" si="11"/>
        <v>5098.3615767545107</v>
      </c>
      <c r="R27" s="814" t="str">
        <f t="shared" si="12"/>
        <v>olej opałowy</v>
      </c>
      <c r="S27" s="823">
        <f t="shared" si="8"/>
        <v>628.89889581430316</v>
      </c>
      <c r="T27" s="1115"/>
      <c r="U27" s="824">
        <f>$S$27*Wskazniki!K42</f>
        <v>1.8866966874429094E-3</v>
      </c>
      <c r="V27" s="824">
        <f>$S$27*Wskazniki!L42</f>
        <v>1.8866966874429094E-3</v>
      </c>
      <c r="W27" s="824">
        <f>$S$27*Wskazniki!M42</f>
        <v>48.167366430417481</v>
      </c>
      <c r="X27" s="824">
        <f>$S$27*Wskazniki!N42</f>
        <v>6.2889889581430319E-6</v>
      </c>
      <c r="Y27" s="824">
        <f>$S$27*Wskazniki!O42</f>
        <v>8.8045845414002441E-2</v>
      </c>
      <c r="Z27" s="824">
        <f>$S$27*Wskazniki!P42</f>
        <v>4.4022922707001221E-2</v>
      </c>
      <c r="AA27" s="824">
        <f>$S$27*Wskazniki!Q42</f>
        <v>1.0221842119906175E-2</v>
      </c>
    </row>
    <row r="28" spans="1:27" ht="15" customHeight="1">
      <c r="A28" s="814" t="s">
        <v>531</v>
      </c>
      <c r="B28" s="823">
        <f t="shared" si="9"/>
        <v>893.8925361880415</v>
      </c>
      <c r="C28" s="1115"/>
      <c r="D28" s="824">
        <v>0</v>
      </c>
      <c r="E28" s="824">
        <v>0</v>
      </c>
      <c r="F28" s="960">
        <f>(C22*Wskazniki!D43)+(B28+M28)*Wskazniki!D43</f>
        <v>5606.3442594496228</v>
      </c>
      <c r="G28" s="824">
        <v>0</v>
      </c>
      <c r="H28" s="824">
        <v>0</v>
      </c>
      <c r="I28" s="824">
        <v>0</v>
      </c>
      <c r="J28" s="824">
        <v>0</v>
      </c>
      <c r="L28" s="814" t="s">
        <v>531</v>
      </c>
      <c r="M28" s="825">
        <f t="shared" si="7"/>
        <v>1019.6723153509021</v>
      </c>
      <c r="N28" s="950">
        <v>4.0000000000000001E-3</v>
      </c>
      <c r="O28" s="952">
        <v>5.0000000000000001E-3</v>
      </c>
      <c r="Q28" s="879">
        <f t="shared" si="11"/>
        <v>1019.6723153509022</v>
      </c>
      <c r="R28" s="814" t="str">
        <f t="shared" si="12"/>
        <v>prąd</v>
      </c>
      <c r="S28" s="823">
        <f t="shared" si="8"/>
        <v>125.77977916286062</v>
      </c>
      <c r="T28" s="1115"/>
      <c r="U28" s="824">
        <v>0</v>
      </c>
      <c r="V28" s="824">
        <v>0</v>
      </c>
      <c r="W28" s="824">
        <f>(T22*Wskazniki!AC43)</f>
        <v>0</v>
      </c>
      <c r="X28" s="824">
        <v>0</v>
      </c>
      <c r="Y28" s="824">
        <v>0</v>
      </c>
      <c r="Z28" s="824">
        <v>0</v>
      </c>
      <c r="AA28" s="824">
        <v>0</v>
      </c>
    </row>
    <row r="29" spans="1:27">
      <c r="A29" s="831" t="s">
        <v>588</v>
      </c>
      <c r="B29" s="823">
        <f t="shared" si="9"/>
        <v>2011.2582064230933</v>
      </c>
      <c r="C29" s="1115"/>
      <c r="D29" s="824"/>
      <c r="E29" s="824"/>
      <c r="F29" s="824"/>
      <c r="G29" s="824"/>
      <c r="H29" s="824"/>
      <c r="I29" s="824"/>
      <c r="J29" s="824"/>
      <c r="L29" s="814" t="s">
        <v>482</v>
      </c>
      <c r="M29" s="825">
        <f t="shared" si="7"/>
        <v>2294.2627095395296</v>
      </c>
      <c r="N29" s="950">
        <v>8.9999999999999993E-3</v>
      </c>
      <c r="O29" s="871">
        <v>4.0000000000000001E-3</v>
      </c>
      <c r="Q29" s="879">
        <f t="shared" si="11"/>
        <v>2294.2627095395296</v>
      </c>
      <c r="R29" s="814" t="str">
        <f t="shared" si="12"/>
        <v>kolektory słoneczne</v>
      </c>
      <c r="S29" s="823">
        <f t="shared" si="8"/>
        <v>283.00450311643641</v>
      </c>
      <c r="T29" s="1115"/>
      <c r="U29" s="824"/>
      <c r="V29" s="824"/>
      <c r="W29" s="824"/>
      <c r="X29" s="824"/>
      <c r="Y29" s="824"/>
      <c r="Z29" s="824"/>
      <c r="AA29" s="824"/>
    </row>
    <row r="30" spans="1:27">
      <c r="A30" s="831" t="str">
        <f>L30</f>
        <v>OŹE (pompy ciepła)</v>
      </c>
      <c r="B30" s="823">
        <f t="shared" si="9"/>
        <v>2234.7313404701035</v>
      </c>
      <c r="C30" s="1116"/>
      <c r="D30" s="824"/>
      <c r="E30" s="824"/>
      <c r="F30" s="824"/>
      <c r="G30" s="824"/>
      <c r="H30" s="824"/>
      <c r="I30" s="824"/>
      <c r="J30" s="824"/>
      <c r="L30" s="814" t="s">
        <v>589</v>
      </c>
      <c r="M30" s="825">
        <f>N30*$M32</f>
        <v>2549.1807883772553</v>
      </c>
      <c r="N30" s="950">
        <v>0.01</v>
      </c>
      <c r="O30" s="952">
        <v>5.0000000000000001E-3</v>
      </c>
      <c r="Q30" s="879">
        <f t="shared" si="11"/>
        <v>2549.1807883772553</v>
      </c>
      <c r="R30" s="814" t="str">
        <f t="shared" si="12"/>
        <v>pompy ciepła</v>
      </c>
      <c r="S30" s="823">
        <f t="shared" si="8"/>
        <v>314.44944790715158</v>
      </c>
      <c r="T30" s="1116"/>
      <c r="U30" s="824"/>
      <c r="V30" s="824"/>
      <c r="W30" s="824"/>
      <c r="X30" s="824"/>
      <c r="Y30" s="824"/>
      <c r="Z30" s="824"/>
      <c r="AA30" s="824"/>
    </row>
    <row r="31" spans="1:27">
      <c r="A31" s="832" t="s">
        <v>590</v>
      </c>
      <c r="B31" s="833">
        <f>SUM(B22:B30)</f>
        <v>235649.26695780715</v>
      </c>
      <c r="C31" s="834">
        <f>C22</f>
        <v>4990.8</v>
      </c>
      <c r="D31" s="835">
        <f>SUM(D22:D30)</f>
        <v>50.991080372705973</v>
      </c>
      <c r="E31" s="835">
        <f t="shared" ref="E31:J31" si="13">SUM(E22:E30)</f>
        <v>46.752115850311675</v>
      </c>
      <c r="F31" s="835">
        <f t="shared" si="13"/>
        <v>23183.103846564853</v>
      </c>
      <c r="G31" s="836">
        <f t="shared" si="13"/>
        <v>4.7979983316867252E-2</v>
      </c>
      <c r="H31" s="835">
        <f t="shared" si="13"/>
        <v>149.02838050589449</v>
      </c>
      <c r="I31" s="835">
        <f t="shared" si="13"/>
        <v>30.254426236737789</v>
      </c>
      <c r="J31" s="835">
        <f t="shared" si="13"/>
        <v>336.47761504089306</v>
      </c>
      <c r="L31" s="829"/>
      <c r="M31" s="825"/>
      <c r="N31" s="829"/>
      <c r="O31" s="829"/>
      <c r="Q31" s="879">
        <f>SUM(Q22:Q30)</f>
        <v>267094.2117485223</v>
      </c>
      <c r="R31" s="832" t="s">
        <v>590</v>
      </c>
      <c r="S31" s="833">
        <f>SUM(S22:S30)</f>
        <v>31444.944790715155</v>
      </c>
      <c r="T31" s="834">
        <f>T22</f>
        <v>0</v>
      </c>
      <c r="U31" s="885">
        <f>SUM(U22:U30)</f>
        <v>1.809111286813788</v>
      </c>
      <c r="V31" s="885">
        <f t="shared" ref="V31:AA31" si="14">SUM(V22:V30)</f>
        <v>1.6239115221916713</v>
      </c>
      <c r="W31" s="885">
        <f t="shared" si="14"/>
        <v>209.73195071160998</v>
      </c>
      <c r="X31" s="885">
        <f t="shared" si="14"/>
        <v>1.8759747253815999E-3</v>
      </c>
      <c r="Y31" s="885">
        <f t="shared" si="14"/>
        <v>10.506775385392588</v>
      </c>
      <c r="Z31" s="885">
        <f t="shared" si="14"/>
        <v>4.171440452146979</v>
      </c>
      <c r="AA31" s="885">
        <f t="shared" si="14"/>
        <v>0.25164586592644655</v>
      </c>
    </row>
    <row r="32" spans="1:27">
      <c r="B32" s="837"/>
      <c r="D32" s="838">
        <f>D31</f>
        <v>50.991080372705973</v>
      </c>
      <c r="E32" s="838">
        <f>E31</f>
        <v>46.752115850311675</v>
      </c>
      <c r="F32" s="815">
        <f>F31/100</f>
        <v>231.83103846564853</v>
      </c>
      <c r="G32" s="838">
        <f>G31</f>
        <v>4.7979983316867252E-2</v>
      </c>
      <c r="H32" s="838">
        <f>H31</f>
        <v>149.02838050589449</v>
      </c>
      <c r="I32" s="838">
        <f>I31</f>
        <v>30.254426236737789</v>
      </c>
      <c r="J32" s="838">
        <f>J31</f>
        <v>336.47761504089306</v>
      </c>
      <c r="L32" s="829" t="s">
        <v>297</v>
      </c>
      <c r="M32" s="839">
        <f>OPTI!R5</f>
        <v>254918.07883772551</v>
      </c>
      <c r="N32" s="840">
        <f>SUM(N22:N31)</f>
        <v>1</v>
      </c>
      <c r="O32" s="841">
        <f>SUM(O22:O31)</f>
        <v>1</v>
      </c>
      <c r="S32" s="837"/>
    </row>
    <row r="33" spans="1:27" ht="9.75" customHeight="1">
      <c r="A33" s="1124"/>
      <c r="B33" s="1124"/>
      <c r="C33" s="1124"/>
      <c r="D33" s="1124"/>
      <c r="E33" s="1124"/>
      <c r="F33" s="1124"/>
      <c r="G33" s="1124"/>
      <c r="H33" s="1124"/>
      <c r="I33" s="1124"/>
      <c r="J33" s="1124"/>
      <c r="K33" s="1124"/>
      <c r="L33" s="1124"/>
      <c r="M33" s="1124"/>
      <c r="N33" s="1124"/>
      <c r="O33" s="1124"/>
    </row>
    <row r="34" spans="1:27" ht="15">
      <c r="A34" s="1117" t="s">
        <v>325</v>
      </c>
      <c r="B34" s="1117"/>
      <c r="C34" s="1117"/>
      <c r="D34" s="1117"/>
      <c r="E34" s="1117"/>
      <c r="F34" s="1117"/>
      <c r="G34" s="1117"/>
      <c r="H34" s="1117"/>
      <c r="I34" s="1117"/>
      <c r="J34" s="1117"/>
      <c r="R34" s="1117" t="s">
        <v>325</v>
      </c>
      <c r="S34" s="1117"/>
      <c r="T34" s="1117"/>
      <c r="U34" s="1117"/>
      <c r="V34" s="1117"/>
      <c r="W34" s="1117"/>
      <c r="X34" s="1117"/>
      <c r="Y34" s="1117"/>
      <c r="Z34" s="1117"/>
      <c r="AA34" s="1117"/>
    </row>
    <row r="35" spans="1:27">
      <c r="A35" s="1118" t="s">
        <v>582</v>
      </c>
      <c r="B35" s="1118"/>
      <c r="C35" s="1118"/>
      <c r="D35" s="1119" t="s">
        <v>583</v>
      </c>
      <c r="E35" s="1119"/>
      <c r="F35" s="1119"/>
      <c r="G35" s="1119"/>
      <c r="H35" s="1119"/>
      <c r="I35" s="1119"/>
      <c r="J35" s="1119"/>
      <c r="R35" s="1118" t="s">
        <v>582</v>
      </c>
      <c r="S35" s="1118"/>
      <c r="T35" s="1118"/>
      <c r="U35" s="1119" t="s">
        <v>583</v>
      </c>
      <c r="V35" s="1119"/>
      <c r="W35" s="1119"/>
      <c r="X35" s="1119"/>
      <c r="Y35" s="1119"/>
      <c r="Z35" s="1119"/>
      <c r="AA35" s="1119"/>
    </row>
    <row r="36" spans="1:27" s="816" customFormat="1" ht="46.5" customHeight="1">
      <c r="A36" s="1120" t="s">
        <v>516</v>
      </c>
      <c r="B36" s="1122" t="s">
        <v>591</v>
      </c>
      <c r="C36" s="1120" t="s">
        <v>594</v>
      </c>
      <c r="D36" s="1119"/>
      <c r="E36" s="1119"/>
      <c r="F36" s="1119"/>
      <c r="G36" s="1119"/>
      <c r="H36" s="1119"/>
      <c r="I36" s="1119"/>
      <c r="J36" s="1119"/>
      <c r="L36" s="1125" t="s">
        <v>592</v>
      </c>
      <c r="M36" s="1125"/>
      <c r="N36" s="1125"/>
      <c r="O36" s="817" t="s">
        <v>593</v>
      </c>
      <c r="P36" s="818"/>
      <c r="R36" s="1120" t="s">
        <v>516</v>
      </c>
      <c r="S36" s="1122" t="s">
        <v>591</v>
      </c>
      <c r="T36" s="1120" t="s">
        <v>594</v>
      </c>
      <c r="U36" s="1119"/>
      <c r="V36" s="1119"/>
      <c r="W36" s="1119"/>
      <c r="X36" s="1119"/>
      <c r="Y36" s="1119"/>
      <c r="Z36" s="1119"/>
      <c r="AA36" s="1119"/>
    </row>
    <row r="37" spans="1:27" s="816" customFormat="1" ht="14.25" customHeight="1">
      <c r="A37" s="1121"/>
      <c r="B37" s="1122"/>
      <c r="C37" s="1121"/>
      <c r="D37" s="819" t="s">
        <v>560</v>
      </c>
      <c r="E37" s="819" t="s">
        <v>561</v>
      </c>
      <c r="F37" s="819" t="s">
        <v>584</v>
      </c>
      <c r="G37" s="819" t="s">
        <v>461</v>
      </c>
      <c r="H37" s="819" t="s">
        <v>569</v>
      </c>
      <c r="I37" s="820" t="s">
        <v>571</v>
      </c>
      <c r="J37" s="819" t="s">
        <v>363</v>
      </c>
      <c r="L37" s="822" t="s">
        <v>585</v>
      </c>
      <c r="M37" s="822" t="s">
        <v>586</v>
      </c>
      <c r="N37" s="822">
        <v>2020</v>
      </c>
      <c r="O37" s="821">
        <v>2016</v>
      </c>
      <c r="R37" s="1121"/>
      <c r="S37" s="1122"/>
      <c r="T37" s="1121"/>
      <c r="U37" s="819" t="s">
        <v>560</v>
      </c>
      <c r="V37" s="819" t="s">
        <v>561</v>
      </c>
      <c r="W37" s="819" t="s">
        <v>584</v>
      </c>
      <c r="X37" s="819" t="s">
        <v>461</v>
      </c>
      <c r="Y37" s="819" t="s">
        <v>569</v>
      </c>
      <c r="Z37" s="820" t="s">
        <v>571</v>
      </c>
      <c r="AA37" s="819" t="s">
        <v>363</v>
      </c>
    </row>
    <row r="38" spans="1:27" ht="15" customHeight="1">
      <c r="A38" s="814" t="s">
        <v>479</v>
      </c>
      <c r="B38" s="823">
        <f>M38-M38*$D$71</f>
        <v>952.84268885569782</v>
      </c>
      <c r="C38" s="1114">
        <f>'[1]Mieszk. wielorodz. - emisja'!$D$6</f>
        <v>246.49999999999997</v>
      </c>
      <c r="D38" s="824">
        <f>$B$38*Wskazniki!B37</f>
        <v>0.21438960499253201</v>
      </c>
      <c r="E38" s="824">
        <f>$B$38*Wskazniki!C37</f>
        <v>0.19152138045999526</v>
      </c>
      <c r="F38" s="824">
        <f>$B$38*Wskazniki!D37</f>
        <v>89.319473653333105</v>
      </c>
      <c r="G38" s="824">
        <f>$B$38*Wskazniki!E37</f>
        <v>2.5726752599103842E-4</v>
      </c>
      <c r="H38" s="824">
        <f>$B$38*Wskazniki!F37</f>
        <v>0.85755841997012805</v>
      </c>
      <c r="I38" s="824">
        <f>$B$38*Wskazniki!G37</f>
        <v>0.15054914483920026</v>
      </c>
      <c r="J38" s="824">
        <f>$B$38*Wskazniki!H37</f>
        <v>1.9167599909926865</v>
      </c>
      <c r="L38" s="814" t="s">
        <v>479</v>
      </c>
      <c r="M38" s="825">
        <f>N38*$M$48</f>
        <v>1287.1997013509922</v>
      </c>
      <c r="N38" s="953">
        <v>0.15</v>
      </c>
      <c r="O38" s="954">
        <v>0.23307201929703655</v>
      </c>
      <c r="Q38" s="879">
        <f>B38+S38</f>
        <v>1287.1997013509922</v>
      </c>
      <c r="R38" s="814" t="s">
        <v>479</v>
      </c>
      <c r="S38" s="823">
        <f t="shared" ref="S38:S46" si="15">M38*$D$71</f>
        <v>334.35701249529438</v>
      </c>
      <c r="T38" s="1114"/>
      <c r="U38" s="884">
        <f>$S$38*Wskazniki!K37</f>
        <v>2.6079846974632961E-2</v>
      </c>
      <c r="V38" s="884">
        <f>$S$38*Wskazniki!L37</f>
        <v>2.3404990874670604E-2</v>
      </c>
      <c r="W38" s="884">
        <f>$S$38*Wskazniki!M37</f>
        <v>3.134262635130889E-2</v>
      </c>
      <c r="X38" s="884">
        <f>$S$38*Wskazniki!N37</f>
        <v>2.641420398712826E-5</v>
      </c>
      <c r="Y38" s="884">
        <f>$S$38*Wskazniki!O37</f>
        <v>0.15046065562288247</v>
      </c>
      <c r="Z38" s="884">
        <f>$S$38*Wskazniki!P37</f>
        <v>5.282840797425651E-2</v>
      </c>
      <c r="AA38" s="884">
        <f>$S$38*Wskazniki!Q37</f>
        <v>0</v>
      </c>
    </row>
    <row r="39" spans="1:27">
      <c r="A39" s="814" t="s">
        <v>480</v>
      </c>
      <c r="B39" s="823">
        <f t="shared" ref="B39:B46" si="16">M39-M39*$D$71</f>
        <v>5081.8276738970553</v>
      </c>
      <c r="C39" s="1115"/>
      <c r="D39" s="824">
        <f>Wskazniki!B38*'2022 Emisja opti'!$B$39</f>
        <v>0</v>
      </c>
      <c r="E39" s="824">
        <f>Wskazniki!C38*'2022 Emisja opti'!$B$39</f>
        <v>0</v>
      </c>
      <c r="F39" s="824">
        <f>Wskazniki!D38*'2022 Emisja opti'!$B$39</f>
        <v>0</v>
      </c>
      <c r="G39" s="824">
        <f>Wskazniki!E38*'2022 Emisja opti'!$B$39</f>
        <v>0</v>
      </c>
      <c r="H39" s="824">
        <f>Wskazniki!F38*'2022 Emisja opti'!$B$39</f>
        <v>0</v>
      </c>
      <c r="I39" s="824">
        <f>Wskazniki!G38*'2022 Emisja opti'!$B$39</f>
        <v>0</v>
      </c>
      <c r="J39" s="824">
        <f>Wskazniki!H38*'2022 Emisja opti'!$B$39</f>
        <v>0</v>
      </c>
      <c r="L39" s="814" t="str">
        <f>A39</f>
        <v>sieć ciepłownicza</v>
      </c>
      <c r="M39" s="825">
        <f t="shared" ref="M39:M46" si="17">N39*$M$48</f>
        <v>6865.0650738719587</v>
      </c>
      <c r="N39" s="953">
        <f>100%-N38-N40-N41-N42-N43-N44-N45-N46</f>
        <v>0.79999999999999993</v>
      </c>
      <c r="O39" s="956">
        <v>0.67711922811853897</v>
      </c>
      <c r="Q39" s="879">
        <f t="shared" ref="Q39:Q46" si="18">B39+S39</f>
        <v>6865.0650738719587</v>
      </c>
      <c r="R39" s="814" t="s">
        <v>480</v>
      </c>
      <c r="S39" s="823">
        <f t="shared" si="15"/>
        <v>1783.2373999749034</v>
      </c>
      <c r="T39" s="1115"/>
      <c r="U39" s="824">
        <f>Wskazniki!AA38*'2032 Emisja opti'!$B$39</f>
        <v>0</v>
      </c>
      <c r="V39" s="824">
        <f>Wskazniki!AB38*'2032 Emisja opti'!$B$39</f>
        <v>0</v>
      </c>
      <c r="W39" s="824">
        <f>Wskazniki!AC38*'2032 Emisja opti'!$B$39</f>
        <v>0</v>
      </c>
      <c r="X39" s="824">
        <f>Wskazniki!AD38*'2032 Emisja opti'!$B$39</f>
        <v>0</v>
      </c>
      <c r="Y39" s="824">
        <f>Wskazniki!AE38*'2032 Emisja opti'!$B$39</f>
        <v>0</v>
      </c>
      <c r="Z39" s="824">
        <f>Wskazniki!AF38*'2032 Emisja opti'!$B$39</f>
        <v>0</v>
      </c>
      <c r="AA39" s="824">
        <f>Wskazniki!AG38*'2032 Emisja opti'!$B$39</f>
        <v>0</v>
      </c>
    </row>
    <row r="40" spans="1:27" ht="15" customHeight="1">
      <c r="A40" s="814" t="s">
        <v>331</v>
      </c>
      <c r="B40" s="823">
        <f t="shared" si="16"/>
        <v>0</v>
      </c>
      <c r="C40" s="1115"/>
      <c r="D40" s="824">
        <f>$B$40*Wskazniki!B39</f>
        <v>0</v>
      </c>
      <c r="E40" s="824">
        <f>$B$40*Wskazniki!C39</f>
        <v>0</v>
      </c>
      <c r="F40" s="824">
        <f>$B$40*Wskazniki!D39</f>
        <v>0</v>
      </c>
      <c r="G40" s="824">
        <f>$B$40*Wskazniki!E39</f>
        <v>0</v>
      </c>
      <c r="H40" s="824">
        <f>$B$40*Wskazniki!F39</f>
        <v>0</v>
      </c>
      <c r="I40" s="824">
        <f>$B$40*Wskazniki!G39</f>
        <v>0</v>
      </c>
      <c r="J40" s="824">
        <f>$B$40*Wskazniki!H39</f>
        <v>0</v>
      </c>
      <c r="L40" s="814" t="s">
        <v>331</v>
      </c>
      <c r="M40" s="967">
        <f>N40*$M$48*1.3</f>
        <v>0</v>
      </c>
      <c r="N40" s="953">
        <f t="shared" ref="N40:N44" si="19">O40</f>
        <v>0</v>
      </c>
      <c r="O40" s="957">
        <v>0</v>
      </c>
      <c r="Q40" s="879">
        <f t="shared" si="18"/>
        <v>0</v>
      </c>
      <c r="R40" s="814" t="s">
        <v>331</v>
      </c>
      <c r="S40" s="823">
        <f t="shared" si="15"/>
        <v>0</v>
      </c>
      <c r="T40" s="1115"/>
      <c r="U40" s="824">
        <f>$S$40*Wskazniki!B39</f>
        <v>0</v>
      </c>
      <c r="V40" s="824">
        <f>$S$40*Wskazniki!C39</f>
        <v>0</v>
      </c>
      <c r="W40" s="824">
        <f>$S$40*Wskazniki!D39</f>
        <v>0</v>
      </c>
      <c r="X40" s="824">
        <f>$S$40*Wskazniki!E39</f>
        <v>0</v>
      </c>
      <c r="Y40" s="824">
        <f>$S$40*Wskazniki!F39</f>
        <v>0</v>
      </c>
      <c r="Z40" s="824">
        <f>$S$40*Wskazniki!G39</f>
        <v>0</v>
      </c>
      <c r="AA40" s="824">
        <f>$S$40*Wskazniki!H39</f>
        <v>0</v>
      </c>
    </row>
    <row r="41" spans="1:27">
      <c r="A41" s="814" t="s">
        <v>335</v>
      </c>
      <c r="B41" s="823">
        <f t="shared" si="16"/>
        <v>0</v>
      </c>
      <c r="C41" s="1115"/>
      <c r="D41" s="824">
        <f>$B$41*Wskazniki!B40</f>
        <v>0</v>
      </c>
      <c r="E41" s="824">
        <f>$B$41*Wskazniki!C40</f>
        <v>0</v>
      </c>
      <c r="F41" s="824">
        <f>$B$41*Wskazniki!D40</f>
        <v>0</v>
      </c>
      <c r="G41" s="824">
        <f>$B$41*Wskazniki!E40</f>
        <v>0</v>
      </c>
      <c r="H41" s="824">
        <f>$B$41*Wskazniki!F40</f>
        <v>0</v>
      </c>
      <c r="I41" s="824">
        <f>$B$41*Wskazniki!G40</f>
        <v>0</v>
      </c>
      <c r="J41" s="824">
        <f>$B$41*Wskazniki!H40</f>
        <v>0</v>
      </c>
      <c r="L41" s="814" t="s">
        <v>335</v>
      </c>
      <c r="M41" s="825">
        <f t="shared" si="17"/>
        <v>0</v>
      </c>
      <c r="N41" s="953">
        <f t="shared" si="19"/>
        <v>0</v>
      </c>
      <c r="O41" s="957">
        <v>0</v>
      </c>
      <c r="Q41" s="879">
        <f t="shared" si="18"/>
        <v>0</v>
      </c>
      <c r="R41" s="814" t="s">
        <v>335</v>
      </c>
      <c r="S41" s="823">
        <f t="shared" si="15"/>
        <v>0</v>
      </c>
      <c r="T41" s="1115"/>
      <c r="U41" s="884">
        <f>$S$41*Wskazniki!K40</f>
        <v>0</v>
      </c>
      <c r="V41" s="884">
        <f>$S$41*Wskazniki!L40</f>
        <v>0</v>
      </c>
      <c r="W41" s="884">
        <f>$S$41*Wskazniki!M40</f>
        <v>0</v>
      </c>
      <c r="X41" s="884">
        <f>$S$41*Wskazniki!N40</f>
        <v>0</v>
      </c>
      <c r="Y41" s="884">
        <f>$S$41*Wskazniki!O40</f>
        <v>0</v>
      </c>
      <c r="Z41" s="884">
        <f>$S$41*Wskazniki!P40</f>
        <v>0</v>
      </c>
      <c r="AA41" s="884">
        <f>$S$41*Wskazniki!Q40</f>
        <v>0</v>
      </c>
    </row>
    <row r="42" spans="1:27">
      <c r="A42" s="814" t="s">
        <v>337</v>
      </c>
      <c r="B42" s="823">
        <f t="shared" si="16"/>
        <v>0</v>
      </c>
      <c r="C42" s="1115"/>
      <c r="D42" s="824">
        <f>$B$42*Wskazniki!B41</f>
        <v>0</v>
      </c>
      <c r="E42" s="824">
        <f>$B$42*Wskazniki!C41</f>
        <v>0</v>
      </c>
      <c r="F42" s="824">
        <f>$B$42*Wskazniki!D41</f>
        <v>0</v>
      </c>
      <c r="G42" s="824">
        <f>$B$42*Wskazniki!E41</f>
        <v>0</v>
      </c>
      <c r="H42" s="824">
        <f>$B$42*Wskazniki!F41</f>
        <v>0</v>
      </c>
      <c r="I42" s="824">
        <f>$B$42*Wskazniki!G41</f>
        <v>0</v>
      </c>
      <c r="J42" s="824">
        <f>$B$42*Wskazniki!H41</f>
        <v>0</v>
      </c>
      <c r="L42" s="814" t="s">
        <v>337</v>
      </c>
      <c r="M42" s="825">
        <f t="shared" si="17"/>
        <v>0</v>
      </c>
      <c r="N42" s="953">
        <f t="shared" si="19"/>
        <v>0</v>
      </c>
      <c r="O42" s="957">
        <v>0</v>
      </c>
      <c r="Q42" s="879">
        <f t="shared" si="18"/>
        <v>0</v>
      </c>
      <c r="R42" s="814" t="s">
        <v>337</v>
      </c>
      <c r="S42" s="823">
        <f t="shared" si="15"/>
        <v>0</v>
      </c>
      <c r="T42" s="1115"/>
      <c r="U42" s="884">
        <f>$S$42*Wskazniki!K41</f>
        <v>0</v>
      </c>
      <c r="V42" s="884">
        <f>$S$42*Wskazniki!L41</f>
        <v>0</v>
      </c>
      <c r="W42" s="884">
        <f>$S$42*Wskazniki!M41</f>
        <v>0</v>
      </c>
      <c r="X42" s="884">
        <f>$S$42*Wskazniki!N41</f>
        <v>0</v>
      </c>
      <c r="Y42" s="884">
        <f>$S$42*Wskazniki!O41</f>
        <v>0</v>
      </c>
      <c r="Z42" s="884">
        <f>$S$42*Wskazniki!P41</f>
        <v>0</v>
      </c>
      <c r="AA42" s="884">
        <f>$S$42*Wskazniki!Q41</f>
        <v>0</v>
      </c>
    </row>
    <row r="43" spans="1:27">
      <c r="A43" s="814" t="s">
        <v>338</v>
      </c>
      <c r="B43" s="823">
        <f t="shared" si="16"/>
        <v>317.61422961856601</v>
      </c>
      <c r="C43" s="1115"/>
      <c r="D43" s="824">
        <f>$B$43*Wskazniki!B42</f>
        <v>9.5284268885569804E-4</v>
      </c>
      <c r="E43" s="824">
        <f>$B$43*Wskazniki!C42</f>
        <v>9.5284268885569804E-4</v>
      </c>
      <c r="F43" s="824">
        <f>$B$43*Wskazniki!D42</f>
        <v>24.326073846485972</v>
      </c>
      <c r="G43" s="824">
        <f>$B$43*Wskazniki!E42</f>
        <v>3.1761422961856604E-6</v>
      </c>
      <c r="H43" s="824">
        <f>$B$43*Wskazniki!F42</f>
        <v>4.4465992146599236E-2</v>
      </c>
      <c r="I43" s="824">
        <f>$B$43*Wskazniki!G42</f>
        <v>2.2232996073299618E-2</v>
      </c>
      <c r="J43" s="824">
        <f>$B$43*Wskazniki!H42</f>
        <v>5.1623600101776039E-3</v>
      </c>
      <c r="L43" s="814" t="s">
        <v>587</v>
      </c>
      <c r="M43" s="825">
        <f t="shared" si="17"/>
        <v>429.06656711699748</v>
      </c>
      <c r="N43" s="953">
        <v>0.05</v>
      </c>
      <c r="O43" s="957">
        <v>8.9808752584424542E-2</v>
      </c>
      <c r="Q43" s="879">
        <f t="shared" si="18"/>
        <v>429.06656711699748</v>
      </c>
      <c r="R43" s="814" t="s">
        <v>338</v>
      </c>
      <c r="S43" s="823">
        <f t="shared" si="15"/>
        <v>111.45233749843148</v>
      </c>
      <c r="T43" s="1115"/>
      <c r="U43" s="824">
        <f>$S$43*Wskazniki!K42</f>
        <v>3.3435701249529443E-4</v>
      </c>
      <c r="V43" s="824">
        <f>$S$43*Wskazniki!L42</f>
        <v>3.3435701249529443E-4</v>
      </c>
      <c r="W43" s="824">
        <f>$S$43*Wskazniki!M42</f>
        <v>8.5361345290048671</v>
      </c>
      <c r="X43" s="824">
        <f>$S$43*Wskazniki!N42</f>
        <v>1.1145233749843147E-6</v>
      </c>
      <c r="Y43" s="824">
        <f>$S$43*Wskazniki!O42</f>
        <v>1.5603327249780405E-2</v>
      </c>
      <c r="Z43" s="824">
        <f>$S$43*Wskazniki!P42</f>
        <v>7.8016636248902024E-3</v>
      </c>
      <c r="AA43" s="824">
        <f>$S$43*Wskazniki!Q42</f>
        <v>1.8114965782033343E-3</v>
      </c>
    </row>
    <row r="44" spans="1:27" ht="15" customHeight="1">
      <c r="A44" s="814" t="s">
        <v>531</v>
      </c>
      <c r="B44" s="823">
        <f t="shared" si="16"/>
        <v>0</v>
      </c>
      <c r="C44" s="1115"/>
      <c r="D44" s="824">
        <v>0</v>
      </c>
      <c r="E44" s="824">
        <v>0</v>
      </c>
      <c r="F44" s="960">
        <f>(C38*Wskazniki!D43)+(B44+M44)*Wskazniki!D43</f>
        <v>200.15799999999999</v>
      </c>
      <c r="G44" s="824">
        <v>0</v>
      </c>
      <c r="H44" s="824">
        <v>0</v>
      </c>
      <c r="I44" s="824">
        <v>0</v>
      </c>
      <c r="J44" s="824">
        <v>0</v>
      </c>
      <c r="L44" s="814" t="s">
        <v>531</v>
      </c>
      <c r="M44" s="825">
        <f t="shared" si="17"/>
        <v>0</v>
      </c>
      <c r="N44" s="953">
        <f t="shared" si="19"/>
        <v>0</v>
      </c>
      <c r="O44" s="957">
        <v>0</v>
      </c>
      <c r="Q44" s="879">
        <f t="shared" si="18"/>
        <v>0</v>
      </c>
      <c r="R44" s="814" t="s">
        <v>531</v>
      </c>
      <c r="S44" s="823">
        <f t="shared" si="15"/>
        <v>0</v>
      </c>
      <c r="T44" s="1115"/>
      <c r="U44" s="824">
        <v>0</v>
      </c>
      <c r="V44" s="824">
        <v>0</v>
      </c>
      <c r="W44" s="824">
        <f>(T38*Wskazniki!AC43)</f>
        <v>0</v>
      </c>
      <c r="X44" s="824">
        <v>0</v>
      </c>
      <c r="Y44" s="824">
        <v>0</v>
      </c>
      <c r="Z44" s="824">
        <v>0</v>
      </c>
      <c r="AA44" s="824">
        <v>0</v>
      </c>
    </row>
    <row r="45" spans="1:27">
      <c r="A45" s="831" t="s">
        <v>588</v>
      </c>
      <c r="B45" s="823">
        <f t="shared" si="16"/>
        <v>0</v>
      </c>
      <c r="C45" s="1115"/>
      <c r="D45" s="824"/>
      <c r="E45" s="824"/>
      <c r="F45" s="824"/>
      <c r="G45" s="824"/>
      <c r="H45" s="824"/>
      <c r="I45" s="824"/>
      <c r="J45" s="824"/>
      <c r="L45" s="814" t="s">
        <v>482</v>
      </c>
      <c r="M45" s="825">
        <f t="shared" si="17"/>
        <v>0</v>
      </c>
      <c r="N45" s="955">
        <f t="shared" ref="N45:N46" si="20">O45</f>
        <v>0</v>
      </c>
      <c r="O45" s="956"/>
      <c r="Q45" s="879">
        <f t="shared" si="18"/>
        <v>0</v>
      </c>
      <c r="R45" s="815" t="str">
        <f>R29</f>
        <v>kolektory słoneczne</v>
      </c>
      <c r="S45" s="823">
        <f t="shared" si="15"/>
        <v>0</v>
      </c>
      <c r="T45" s="1115"/>
      <c r="U45" s="824"/>
      <c r="V45" s="824"/>
      <c r="W45" s="824"/>
      <c r="X45" s="824"/>
      <c r="Y45" s="824"/>
      <c r="Z45" s="824"/>
      <c r="AA45" s="824"/>
    </row>
    <row r="46" spans="1:27">
      <c r="A46" s="831" t="str">
        <f>L46</f>
        <v>OŹE (pompy ciepła)</v>
      </c>
      <c r="B46" s="823">
        <f t="shared" si="16"/>
        <v>0</v>
      </c>
      <c r="C46" s="1116"/>
      <c r="D46" s="824"/>
      <c r="E46" s="824"/>
      <c r="F46" s="824"/>
      <c r="G46" s="824"/>
      <c r="H46" s="824"/>
      <c r="I46" s="824"/>
      <c r="J46" s="824"/>
      <c r="L46" s="814" t="s">
        <v>589</v>
      </c>
      <c r="M46" s="825">
        <f t="shared" si="17"/>
        <v>0</v>
      </c>
      <c r="N46" s="955">
        <f t="shared" si="20"/>
        <v>0</v>
      </c>
      <c r="O46" s="957"/>
      <c r="Q46" s="879">
        <f t="shared" si="18"/>
        <v>0</v>
      </c>
      <c r="R46" s="815" t="str">
        <f>R30</f>
        <v>pompy ciepła</v>
      </c>
      <c r="S46" s="823">
        <f t="shared" si="15"/>
        <v>0</v>
      </c>
      <c r="T46" s="1116"/>
      <c r="U46" s="824"/>
      <c r="V46" s="824"/>
      <c r="W46" s="824"/>
      <c r="X46" s="824"/>
      <c r="Y46" s="824"/>
      <c r="Z46" s="824"/>
      <c r="AA46" s="824"/>
    </row>
    <row r="47" spans="1:27">
      <c r="A47" s="832" t="s">
        <v>590</v>
      </c>
      <c r="B47" s="833">
        <f>SUM(B38:B46)</f>
        <v>6352.2845923713194</v>
      </c>
      <c r="C47" s="834">
        <f>C38</f>
        <v>246.49999999999997</v>
      </c>
      <c r="D47" s="835">
        <f>SUM(D38:D46)</f>
        <v>0.21534244768138772</v>
      </c>
      <c r="E47" s="835">
        <f t="shared" ref="E47:J47" si="21">SUM(E38:E46)</f>
        <v>0.19247422314885096</v>
      </c>
      <c r="F47" s="835">
        <f t="shared" si="21"/>
        <v>313.80354749981905</v>
      </c>
      <c r="G47" s="836">
        <f t="shared" si="21"/>
        <v>2.6044366828722408E-4</v>
      </c>
      <c r="H47" s="835">
        <f t="shared" si="21"/>
        <v>0.90202441211672724</v>
      </c>
      <c r="I47" s="835">
        <f t="shared" si="21"/>
        <v>0.17278214091249988</v>
      </c>
      <c r="J47" s="835">
        <f t="shared" si="21"/>
        <v>1.921922351002864</v>
      </c>
      <c r="L47" s="829"/>
      <c r="M47" s="825">
        <f t="shared" ref="M47" si="22">N47*$M$16</f>
        <v>0</v>
      </c>
      <c r="N47" s="829"/>
      <c r="O47" s="829"/>
      <c r="Q47" s="879">
        <f>SUM(Q38:Q46)</f>
        <v>8581.3313423399486</v>
      </c>
      <c r="R47" s="832" t="s">
        <v>590</v>
      </c>
      <c r="S47" s="833">
        <f>SUM(S38:S46)</f>
        <v>2229.0467499686292</v>
      </c>
      <c r="T47" s="834">
        <f>T38</f>
        <v>0</v>
      </c>
      <c r="U47" s="885">
        <f>SUM(U38:U46)</f>
        <v>2.6414203987128255E-2</v>
      </c>
      <c r="V47" s="885">
        <f t="shared" ref="V47:AA47" si="23">SUM(V38:V46)</f>
        <v>2.3739347887165897E-2</v>
      </c>
      <c r="W47" s="885">
        <f t="shared" si="23"/>
        <v>8.5674771553561762</v>
      </c>
      <c r="X47" s="885">
        <f t="shared" si="23"/>
        <v>2.7528727362112575E-5</v>
      </c>
      <c r="Y47" s="885">
        <f t="shared" si="23"/>
        <v>0.16606398287266289</v>
      </c>
      <c r="Z47" s="885">
        <f t="shared" si="23"/>
        <v>6.0630071599146712E-2</v>
      </c>
      <c r="AA47" s="885">
        <f t="shared" si="23"/>
        <v>1.8114965782033343E-3</v>
      </c>
    </row>
    <row r="48" spans="1:27">
      <c r="B48" s="837"/>
      <c r="D48" s="838">
        <f>D47</f>
        <v>0.21534244768138772</v>
      </c>
      <c r="E48" s="838">
        <f>E47</f>
        <v>0.19247422314885096</v>
      </c>
      <c r="F48" s="815">
        <f>F47/100</f>
        <v>3.1380354749981905</v>
      </c>
      <c r="G48" s="838">
        <f>G47</f>
        <v>2.6044366828722408E-4</v>
      </c>
      <c r="H48" s="838">
        <f>H47</f>
        <v>0.90202441211672724</v>
      </c>
      <c r="I48" s="838">
        <f>I47</f>
        <v>0.17278214091249988</v>
      </c>
      <c r="J48" s="838">
        <f>J47</f>
        <v>1.921922351002864</v>
      </c>
      <c r="L48" s="829" t="s">
        <v>297</v>
      </c>
      <c r="M48" s="839">
        <f>OPTI!R11</f>
        <v>8581.3313423399486</v>
      </c>
      <c r="N48" s="840">
        <f>SUM(N38:N47)</f>
        <v>1</v>
      </c>
      <c r="O48" s="841">
        <f>SUM(O38:O47)</f>
        <v>1</v>
      </c>
      <c r="Q48" s="879"/>
      <c r="S48" s="837"/>
    </row>
    <row r="49" spans="1:27" ht="9.75" customHeight="1">
      <c r="A49" s="1124"/>
      <c r="B49" s="1124"/>
      <c r="C49" s="1124"/>
      <c r="D49" s="1124"/>
      <c r="E49" s="1124"/>
      <c r="F49" s="1124"/>
      <c r="G49" s="1124"/>
      <c r="H49" s="1124"/>
      <c r="I49" s="1124"/>
      <c r="J49" s="1124"/>
      <c r="K49" s="1124"/>
      <c r="L49" s="1124"/>
      <c r="M49" s="1124"/>
      <c r="N49" s="1124"/>
      <c r="O49" s="1124"/>
    </row>
    <row r="50" spans="1:27" ht="15">
      <c r="A50" s="1117" t="s">
        <v>326</v>
      </c>
      <c r="B50" s="1117"/>
      <c r="C50" s="1117"/>
      <c r="D50" s="1117"/>
      <c r="E50" s="1117"/>
      <c r="F50" s="1117"/>
      <c r="G50" s="1117"/>
      <c r="H50" s="1117"/>
      <c r="I50" s="1117"/>
      <c r="J50" s="1117"/>
      <c r="R50" s="1117" t="s">
        <v>326</v>
      </c>
      <c r="S50" s="1117"/>
      <c r="T50" s="1117"/>
      <c r="U50" s="1117"/>
      <c r="V50" s="1117"/>
      <c r="W50" s="1117"/>
      <c r="X50" s="1117"/>
      <c r="Y50" s="1117"/>
      <c r="Z50" s="1117"/>
      <c r="AA50" s="1117"/>
    </row>
    <row r="51" spans="1:27">
      <c r="A51" s="1118" t="s">
        <v>582</v>
      </c>
      <c r="B51" s="1118"/>
      <c r="C51" s="1118"/>
      <c r="D51" s="1119" t="s">
        <v>583</v>
      </c>
      <c r="E51" s="1119"/>
      <c r="F51" s="1119"/>
      <c r="G51" s="1119"/>
      <c r="H51" s="1119"/>
      <c r="I51" s="1119"/>
      <c r="J51" s="1119"/>
      <c r="R51" s="1118" t="s">
        <v>582</v>
      </c>
      <c r="S51" s="1118"/>
      <c r="T51" s="1118"/>
      <c r="U51" s="1119" t="s">
        <v>583</v>
      </c>
      <c r="V51" s="1119"/>
      <c r="W51" s="1119"/>
      <c r="X51" s="1119"/>
      <c r="Y51" s="1119"/>
      <c r="Z51" s="1119"/>
      <c r="AA51" s="1119"/>
    </row>
    <row r="52" spans="1:27" s="816" customFormat="1" ht="46.5" customHeight="1">
      <c r="A52" s="1120" t="s">
        <v>516</v>
      </c>
      <c r="B52" s="1122" t="s">
        <v>591</v>
      </c>
      <c r="C52" s="1120" t="s">
        <v>594</v>
      </c>
      <c r="D52" s="1119"/>
      <c r="E52" s="1119"/>
      <c r="F52" s="1119"/>
      <c r="G52" s="1119"/>
      <c r="H52" s="1119"/>
      <c r="I52" s="1119"/>
      <c r="J52" s="1119"/>
      <c r="L52" s="1125" t="s">
        <v>592</v>
      </c>
      <c r="M52" s="1125"/>
      <c r="N52" s="1125"/>
      <c r="O52" s="817" t="s">
        <v>593</v>
      </c>
      <c r="P52" s="818"/>
      <c r="R52" s="1120" t="s">
        <v>516</v>
      </c>
      <c r="S52" s="1122" t="s">
        <v>591</v>
      </c>
      <c r="T52" s="1120" t="s">
        <v>594</v>
      </c>
      <c r="U52" s="1119"/>
      <c r="V52" s="1119"/>
      <c r="W52" s="1119"/>
      <c r="X52" s="1119"/>
      <c r="Y52" s="1119"/>
      <c r="Z52" s="1119"/>
      <c r="AA52" s="1119"/>
    </row>
    <row r="53" spans="1:27" s="816" customFormat="1" ht="14.25" customHeight="1">
      <c r="A53" s="1121"/>
      <c r="B53" s="1122"/>
      <c r="C53" s="1121"/>
      <c r="D53" s="819" t="s">
        <v>560</v>
      </c>
      <c r="E53" s="819" t="s">
        <v>561</v>
      </c>
      <c r="F53" s="819" t="s">
        <v>584</v>
      </c>
      <c r="G53" s="819" t="s">
        <v>461</v>
      </c>
      <c r="H53" s="819" t="s">
        <v>569</v>
      </c>
      <c r="I53" s="820" t="s">
        <v>571</v>
      </c>
      <c r="J53" s="819" t="s">
        <v>363</v>
      </c>
      <c r="L53" s="822" t="s">
        <v>585</v>
      </c>
      <c r="M53" s="822" t="s">
        <v>586</v>
      </c>
      <c r="N53" s="822">
        <v>2020</v>
      </c>
      <c r="O53" s="821">
        <v>2016</v>
      </c>
      <c r="R53" s="1121"/>
      <c r="S53" s="1122"/>
      <c r="T53" s="1121"/>
      <c r="U53" s="819" t="s">
        <v>560</v>
      </c>
      <c r="V53" s="819" t="s">
        <v>561</v>
      </c>
      <c r="W53" s="819" t="s">
        <v>584</v>
      </c>
      <c r="X53" s="819" t="s">
        <v>461</v>
      </c>
      <c r="Y53" s="819" t="s">
        <v>569</v>
      </c>
      <c r="Z53" s="820" t="s">
        <v>571</v>
      </c>
      <c r="AA53" s="819" t="s">
        <v>363</v>
      </c>
    </row>
    <row r="54" spans="1:27" ht="15" customHeight="1">
      <c r="A54" s="814" t="s">
        <v>479</v>
      </c>
      <c r="B54" s="823">
        <f>M54-M54*$D$72</f>
        <v>41964.677463803724</v>
      </c>
      <c r="C54" s="1114">
        <f>'[2]Budynki dział. gosp. - emisja'!$C$6</f>
        <v>19474.678342160056</v>
      </c>
      <c r="D54" s="824">
        <f>$B$54*Wskazniki!B37</f>
        <v>9.4420524293558383</v>
      </c>
      <c r="E54" s="824">
        <f>$B$54*Wskazniki!C37</f>
        <v>8.4349001702245481</v>
      </c>
      <c r="F54" s="824">
        <f>$B$54*Wskazniki!D37</f>
        <v>3933.7688654569606</v>
      </c>
      <c r="G54" s="824">
        <f>$B$54*Wskazniki!E37</f>
        <v>1.1330462915227007E-2</v>
      </c>
      <c r="H54" s="824">
        <f>$B$54*Wskazniki!F37</f>
        <v>37.768209717423353</v>
      </c>
      <c r="I54" s="824">
        <f>$B$54*Wskazniki!G37</f>
        <v>6.6304190392809881</v>
      </c>
      <c r="J54" s="824">
        <f>$B$54*Wskazniki!H37</f>
        <v>84.417098161429024</v>
      </c>
      <c r="L54" s="814" t="s">
        <v>479</v>
      </c>
      <c r="M54" s="825">
        <f>N54*$M$64</f>
        <v>50082.161070675749</v>
      </c>
      <c r="N54" s="950">
        <f>100%-N55-N56-N57-N58-N59-N60-N61-N62</f>
        <v>0.71499999999999986</v>
      </c>
      <c r="O54" s="948">
        <v>0.73</v>
      </c>
      <c r="Q54" s="879">
        <f>B54+S54</f>
        <v>50082.161070675749</v>
      </c>
      <c r="R54" s="814" t="s">
        <v>479</v>
      </c>
      <c r="S54" s="823">
        <f t="shared" ref="S54:S62" si="24">M54*$D$72</f>
        <v>8117.4836068720278</v>
      </c>
      <c r="T54" s="1114"/>
      <c r="U54" s="884">
        <f>$S$54*Wskazniki!K37</f>
        <v>0.63316372133601817</v>
      </c>
      <c r="V54" s="884">
        <f>$S$54*Wskazniki!L37</f>
        <v>0.5682238524810419</v>
      </c>
      <c r="W54" s="884">
        <f>$S$54*Wskazniki!M37</f>
        <v>0.7609329133081838</v>
      </c>
      <c r="X54" s="884">
        <f>$S$54*Wskazniki!N37</f>
        <v>6.412812049428903E-4</v>
      </c>
      <c r="Y54" s="884">
        <f>$S$54*Wskazniki!O37</f>
        <v>3.6528676230924124</v>
      </c>
      <c r="Z54" s="884">
        <f>$S$54*Wskazniki!P37</f>
        <v>1.2825624098857804</v>
      </c>
      <c r="AA54" s="884">
        <f>$S$54*Wskazniki!Q37</f>
        <v>0</v>
      </c>
    </row>
    <row r="55" spans="1:27" ht="12.75">
      <c r="A55" s="814" t="s">
        <v>480</v>
      </c>
      <c r="B55" s="823">
        <f t="shared" ref="B55:B62" si="25">M55-M55*$D$72</f>
        <v>0</v>
      </c>
      <c r="C55" s="1115"/>
      <c r="D55" s="824">
        <f>Wskazniki!B38*'2022 Emisja opti'!$B$55</f>
        <v>0</v>
      </c>
      <c r="E55" s="824">
        <f>Wskazniki!C38*'2022 Emisja opti'!$B$55</f>
        <v>0</v>
      </c>
      <c r="F55" s="824">
        <f>Wskazniki!D38*'2022 Emisja opti'!$B$55</f>
        <v>0</v>
      </c>
      <c r="G55" s="824">
        <f>Wskazniki!E38*'2022 Emisja opti'!$B$55</f>
        <v>0</v>
      </c>
      <c r="H55" s="824">
        <f>Wskazniki!F38*'2022 Emisja opti'!$B$55</f>
        <v>0</v>
      </c>
      <c r="I55" s="824">
        <f>Wskazniki!G38*'2022 Emisja opti'!$B$55</f>
        <v>0</v>
      </c>
      <c r="J55" s="824">
        <f>Wskazniki!H38*'2022 Emisja opti'!$B$55</f>
        <v>0</v>
      </c>
      <c r="L55" s="814" t="str">
        <f>A55</f>
        <v>sieć ciepłownicza</v>
      </c>
      <c r="M55" s="825">
        <f t="shared" ref="M55:M63" si="26">N55*$M$64</f>
        <v>0</v>
      </c>
      <c r="N55" s="826">
        <f t="shared" ref="N55" si="27">O55</f>
        <v>0</v>
      </c>
      <c r="O55" s="949">
        <v>0</v>
      </c>
      <c r="Q55" s="879">
        <f t="shared" ref="Q55:Q62" si="28">B55+S55</f>
        <v>0</v>
      </c>
      <c r="R55" s="814" t="s">
        <v>480</v>
      </c>
      <c r="S55" s="823">
        <f t="shared" si="24"/>
        <v>0</v>
      </c>
      <c r="T55" s="1115"/>
      <c r="U55" s="824">
        <f>Wskazniki!AA38*'2032 Emisja opti'!$B$55</f>
        <v>0</v>
      </c>
      <c r="V55" s="824">
        <f>Wskazniki!AB38*'2032 Emisja opti'!$B$55</f>
        <v>0</v>
      </c>
      <c r="W55" s="824">
        <f>Wskazniki!AC38*'2032 Emisja opti'!$B$55</f>
        <v>0</v>
      </c>
      <c r="X55" s="824">
        <f>Wskazniki!AD38*'2032 Emisja opti'!$B$55</f>
        <v>0</v>
      </c>
      <c r="Y55" s="824">
        <f>Wskazniki!AE38*'2032 Emisja opti'!$B$55</f>
        <v>0</v>
      </c>
      <c r="Z55" s="824">
        <f>Wskazniki!AF38*'2032 Emisja opti'!$B$55</f>
        <v>0</v>
      </c>
      <c r="AA55" s="824">
        <f>Wskazniki!AG38*'2032 Emisja opti'!$B$55</f>
        <v>0</v>
      </c>
    </row>
    <row r="56" spans="1:27" ht="15" customHeight="1">
      <c r="A56" s="814" t="s">
        <v>331</v>
      </c>
      <c r="B56" s="823">
        <f t="shared" si="25"/>
        <v>6866.9472213497002</v>
      </c>
      <c r="C56" s="1115"/>
      <c r="D56" s="824">
        <f>$B$56*Wskazniki!B39</f>
        <v>3.4334736106748499E-3</v>
      </c>
      <c r="E56" s="824">
        <f>$B$56*Wskazniki!C39</f>
        <v>3.4334736106748499E-3</v>
      </c>
      <c r="F56" s="824">
        <f>$B$56*Wskazniki!D39</f>
        <v>383.31299389574025</v>
      </c>
      <c r="G56" s="824">
        <f>$B$56*Wskazniki!E39</f>
        <v>0</v>
      </c>
      <c r="H56" s="824">
        <f>$B$56*Wskazniki!F39</f>
        <v>3.4334736106748499E-3</v>
      </c>
      <c r="I56" s="824">
        <f>$B$56*Wskazniki!G39</f>
        <v>0.34334736106748504</v>
      </c>
      <c r="J56" s="824">
        <f>$B$56*Wskazniki!H39</f>
        <v>5.1502104160122755E-2</v>
      </c>
      <c r="L56" s="814" t="s">
        <v>331</v>
      </c>
      <c r="M56" s="825">
        <f t="shared" si="26"/>
        <v>8195.2627206560319</v>
      </c>
      <c r="N56" s="826">
        <f>O56*P56</f>
        <v>0.11699999999999999</v>
      </c>
      <c r="O56" s="948">
        <v>0.09</v>
      </c>
      <c r="P56" s="815">
        <f>P24</f>
        <v>1.3</v>
      </c>
      <c r="Q56" s="879">
        <f t="shared" si="28"/>
        <v>8195.2627206560319</v>
      </c>
      <c r="R56" s="814" t="s">
        <v>331</v>
      </c>
      <c r="S56" s="823">
        <f t="shared" si="24"/>
        <v>1328.3154993063317</v>
      </c>
      <c r="T56" s="1115"/>
      <c r="U56" s="824">
        <f>$S$56*Wskazniki!B39</f>
        <v>6.6415774965316579E-4</v>
      </c>
      <c r="V56" s="824">
        <f>$S$56*Wskazniki!C39</f>
        <v>6.6415774965316579E-4</v>
      </c>
      <c r="W56" s="824">
        <f>$S$56*Wskazniki!D39</f>
        <v>74.146571171279433</v>
      </c>
      <c r="X56" s="824">
        <f>$S$56*Wskazniki!E39</f>
        <v>0</v>
      </c>
      <c r="Y56" s="824">
        <f>$S$56*Wskazniki!F39</f>
        <v>6.6415774965316579E-4</v>
      </c>
      <c r="Z56" s="824">
        <f>$S$56*Wskazniki!G39</f>
        <v>6.6415774965316587E-2</v>
      </c>
      <c r="AA56" s="824">
        <f>$S$56*Wskazniki!H39</f>
        <v>9.9623662447974881E-3</v>
      </c>
    </row>
    <row r="57" spans="1:27" ht="12.75">
      <c r="A57" s="814" t="s">
        <v>335</v>
      </c>
      <c r="B57" s="823">
        <f t="shared" si="25"/>
        <v>4108.4299614912743</v>
      </c>
      <c r="C57" s="1115"/>
      <c r="D57" s="824">
        <f>$B$57*Wskazniki!B40</f>
        <v>1.9720463815158118</v>
      </c>
      <c r="E57" s="824">
        <f>$B$57*Wskazniki!C40</f>
        <v>1.9309620819008988</v>
      </c>
      <c r="F57" s="824">
        <f>$B$57*Wskazniki!D40</f>
        <v>0</v>
      </c>
      <c r="G57" s="824">
        <f>$B$57*Wskazniki!E40</f>
        <v>4.9712002534044424E-4</v>
      </c>
      <c r="H57" s="824">
        <f>$B$57*Wskazniki!F40</f>
        <v>4.5192729576404016E-2</v>
      </c>
      <c r="I57" s="824">
        <f>$B$57*Wskazniki!G40</f>
        <v>0.32867439691930195</v>
      </c>
      <c r="J57" s="824">
        <f>$B$57*Wskazniki!H40</f>
        <v>0.73705233509153456</v>
      </c>
      <c r="L57" s="814" t="s">
        <v>335</v>
      </c>
      <c r="M57" s="825">
        <f t="shared" si="26"/>
        <v>4903.148636289935</v>
      </c>
      <c r="N57" s="826">
        <v>7.0000000000000007E-2</v>
      </c>
      <c r="O57" s="948">
        <v>0.08</v>
      </c>
      <c r="Q57" s="879">
        <f t="shared" si="28"/>
        <v>4903.1486362899341</v>
      </c>
      <c r="R57" s="814" t="s">
        <v>335</v>
      </c>
      <c r="S57" s="823">
        <f t="shared" si="24"/>
        <v>794.71867479866023</v>
      </c>
      <c r="T57" s="1115"/>
      <c r="U57" s="884">
        <f>$S$57*Wskazniki!K40</f>
        <v>2.7020434943154449E-5</v>
      </c>
      <c r="V57" s="884">
        <f>$S$57*Wskazniki!L40</f>
        <v>2.6225716268355785E-5</v>
      </c>
      <c r="W57" s="884">
        <f>$S$57*Wskazniki!M40</f>
        <v>0</v>
      </c>
      <c r="X57" s="884">
        <f>$S$57*Wskazniki!N40</f>
        <v>7.9471867479866022E-6</v>
      </c>
      <c r="Y57" s="884">
        <f>$S$57*Wskazniki!O40</f>
        <v>8.7419054227852627E-6</v>
      </c>
      <c r="Z57" s="884">
        <f>$S$57*Wskazniki!P40</f>
        <v>6.3577493983892827E-2</v>
      </c>
      <c r="AA57" s="884">
        <f>$S$57*Wskazniki!Q40</f>
        <v>4.2771759077663889E-2</v>
      </c>
    </row>
    <row r="58" spans="1:27" ht="12.75">
      <c r="A58" s="814" t="s">
        <v>337</v>
      </c>
      <c r="B58" s="823">
        <f t="shared" si="25"/>
        <v>3521.511395563949</v>
      </c>
      <c r="C58" s="1115"/>
      <c r="D58" s="824">
        <f>$B$58*Wskazniki!B41</f>
        <v>1.6903254698706955</v>
      </c>
      <c r="E58" s="824">
        <f>$B$58*Wskazniki!C41</f>
        <v>1.655110355915056</v>
      </c>
      <c r="F58" s="824">
        <f>$B$58*Wskazniki!D41</f>
        <v>0</v>
      </c>
      <c r="G58" s="824">
        <f>$B$58*Wskazniki!E41</f>
        <v>4.2610287886323786E-4</v>
      </c>
      <c r="H58" s="824">
        <f>$B$58*Wskazniki!F41</f>
        <v>3.8736625351203438E-2</v>
      </c>
      <c r="I58" s="824">
        <f>$B$58*Wskazniki!G41</f>
        <v>0.28172091164511592</v>
      </c>
      <c r="J58" s="824">
        <f>$B$58*Wskazniki!H41</f>
        <v>0.63175914436417246</v>
      </c>
      <c r="L58" s="814" t="s">
        <v>337</v>
      </c>
      <c r="M58" s="825">
        <f t="shared" si="26"/>
        <v>4202.6988311056575</v>
      </c>
      <c r="N58" s="826">
        <v>0.06</v>
      </c>
      <c r="O58" s="948">
        <v>4.6000000000000013E-2</v>
      </c>
      <c r="Q58" s="879">
        <f t="shared" si="28"/>
        <v>4202.6988311056575</v>
      </c>
      <c r="R58" s="814" t="s">
        <v>337</v>
      </c>
      <c r="S58" s="823">
        <f t="shared" si="24"/>
        <v>681.18743554170862</v>
      </c>
      <c r="T58" s="1115"/>
      <c r="U58" s="884">
        <f>$S$58*Wskazniki!K41</f>
        <v>2.3160372808418094E-5</v>
      </c>
      <c r="V58" s="884">
        <f>$S$58*Wskazniki!L41</f>
        <v>2.2479185372876384E-5</v>
      </c>
      <c r="W58" s="884">
        <f>$S$58*Wskazniki!M41</f>
        <v>0</v>
      </c>
      <c r="X58" s="884">
        <f>$S$58*Wskazniki!N41</f>
        <v>6.811874355417086E-6</v>
      </c>
      <c r="Y58" s="884">
        <f>$S$58*Wskazniki!O41</f>
        <v>7.4930617909587947E-6</v>
      </c>
      <c r="Z58" s="884">
        <f>$S$58*Wskazniki!P41</f>
        <v>5.4494994843336697E-2</v>
      </c>
      <c r="AA58" s="884">
        <f>$S$58*Wskazniki!Q41</f>
        <v>3.6661507780854759E-2</v>
      </c>
    </row>
    <row r="59" spans="1:27" ht="12.75">
      <c r="A59" s="814" t="s">
        <v>338</v>
      </c>
      <c r="B59" s="823">
        <f t="shared" si="25"/>
        <v>1173.8371318546497</v>
      </c>
      <c r="C59" s="1115"/>
      <c r="D59" s="824">
        <f>$B$59*Wskazniki!B42</f>
        <v>3.521511395563949E-3</v>
      </c>
      <c r="E59" s="824">
        <f>$B$59*Wskazniki!C42</f>
        <v>3.521511395563949E-3</v>
      </c>
      <c r="F59" s="824">
        <f>$B$59*Wskazniki!D42</f>
        <v>89.904185928747623</v>
      </c>
      <c r="G59" s="824">
        <f>$B$59*Wskazniki!E42</f>
        <v>1.1738371318546498E-5</v>
      </c>
      <c r="H59" s="824">
        <f>$B$59*Wskazniki!F42</f>
        <v>0.16433719845965095</v>
      </c>
      <c r="I59" s="824">
        <f>$B$59*Wskazniki!G42</f>
        <v>8.2168599229825473E-2</v>
      </c>
      <c r="J59" s="824">
        <f>$B$59*Wskazniki!H42</f>
        <v>1.9079025128141792E-2</v>
      </c>
      <c r="L59" s="814" t="s">
        <v>587</v>
      </c>
      <c r="M59" s="825">
        <f t="shared" si="26"/>
        <v>1400.8996103685527</v>
      </c>
      <c r="N59" s="826">
        <v>0.02</v>
      </c>
      <c r="O59" s="948">
        <v>0.04</v>
      </c>
      <c r="Q59" s="879">
        <f t="shared" si="28"/>
        <v>1400.8996103685527</v>
      </c>
      <c r="R59" s="814" t="s">
        <v>338</v>
      </c>
      <c r="S59" s="823">
        <f t="shared" si="24"/>
        <v>227.0624785139029</v>
      </c>
      <c r="T59" s="1115"/>
      <c r="U59" s="824">
        <f>$S$59*Wskazniki!K42</f>
        <v>6.8118743554170869E-4</v>
      </c>
      <c r="V59" s="824">
        <f>$S$59*Wskazniki!L42</f>
        <v>6.8118743554170869E-4</v>
      </c>
      <c r="W59" s="824">
        <f>$S$59*Wskazniki!M42</f>
        <v>17.390715229379826</v>
      </c>
      <c r="X59" s="824">
        <f>$S$59*Wskazniki!N42</f>
        <v>2.2706247851390289E-6</v>
      </c>
      <c r="Y59" s="824">
        <f>$S$59*Wskazniki!O42</f>
        <v>3.1788746991946407E-2</v>
      </c>
      <c r="Z59" s="824">
        <f>$S$59*Wskazniki!P42</f>
        <v>1.5894373495973203E-2</v>
      </c>
      <c r="AA59" s="824">
        <f>$S$59*Wskazniki!Q42</f>
        <v>3.6905722401030122E-3</v>
      </c>
    </row>
    <row r="60" spans="1:27" ht="15" customHeight="1">
      <c r="A60" s="814" t="s">
        <v>531</v>
      </c>
      <c r="B60" s="823">
        <f t="shared" si="25"/>
        <v>293.45928296366242</v>
      </c>
      <c r="C60" s="1115"/>
      <c r="D60" s="824">
        <v>0</v>
      </c>
      <c r="E60" s="824">
        <v>0</v>
      </c>
      <c r="F60" s="960">
        <f>(C54*Wskazniki!D43)+(B60+M60)*Wskazniki!D43</f>
        <v>16336.110372505276</v>
      </c>
      <c r="G60" s="824">
        <v>0</v>
      </c>
      <c r="H60" s="824">
        <v>0</v>
      </c>
      <c r="I60" s="824">
        <v>0</v>
      </c>
      <c r="J60" s="824">
        <v>0</v>
      </c>
      <c r="L60" s="814" t="s">
        <v>531</v>
      </c>
      <c r="M60" s="825">
        <f t="shared" si="26"/>
        <v>350.22490259213816</v>
      </c>
      <c r="N60" s="826">
        <v>5.0000000000000001E-3</v>
      </c>
      <c r="O60" s="948">
        <v>0.01</v>
      </c>
      <c r="Q60" s="879">
        <f t="shared" si="28"/>
        <v>350.22490259213816</v>
      </c>
      <c r="R60" s="814" t="s">
        <v>531</v>
      </c>
      <c r="S60" s="823">
        <f t="shared" si="24"/>
        <v>56.765619628475726</v>
      </c>
      <c r="T60" s="1115"/>
      <c r="U60" s="824">
        <v>0</v>
      </c>
      <c r="V60" s="824">
        <v>0</v>
      </c>
      <c r="W60" s="824">
        <f>(T54*Wskazniki!AC59)</f>
        <v>0</v>
      </c>
      <c r="X60" s="824">
        <v>0</v>
      </c>
      <c r="Y60" s="824">
        <v>0</v>
      </c>
      <c r="Z60" s="824">
        <v>0</v>
      </c>
      <c r="AA60" s="824">
        <v>0</v>
      </c>
    </row>
    <row r="61" spans="1:27">
      <c r="A61" s="831" t="s">
        <v>588</v>
      </c>
      <c r="B61" s="823">
        <f t="shared" si="25"/>
        <v>469.53485274185994</v>
      </c>
      <c r="C61" s="1115"/>
      <c r="D61" s="824"/>
      <c r="E61" s="824"/>
      <c r="F61" s="824"/>
      <c r="G61" s="824"/>
      <c r="H61" s="824"/>
      <c r="I61" s="824"/>
      <c r="J61" s="824"/>
      <c r="L61" s="814" t="s">
        <v>482</v>
      </c>
      <c r="M61" s="825">
        <f t="shared" si="26"/>
        <v>560.35984414742109</v>
      </c>
      <c r="N61" s="826">
        <v>8.0000000000000002E-3</v>
      </c>
      <c r="O61" s="956">
        <v>4.0000000000000001E-3</v>
      </c>
      <c r="Q61" s="879">
        <f t="shared" si="28"/>
        <v>560.35984414742109</v>
      </c>
      <c r="R61" s="831" t="s">
        <v>588</v>
      </c>
      <c r="S61" s="823">
        <f t="shared" si="24"/>
        <v>90.824991405561164</v>
      </c>
      <c r="T61" s="1115"/>
      <c r="U61" s="824"/>
      <c r="V61" s="824"/>
      <c r="W61" s="824"/>
      <c r="X61" s="824"/>
      <c r="Y61" s="824"/>
      <c r="Z61" s="824"/>
      <c r="AA61" s="824"/>
    </row>
    <row r="62" spans="1:27">
      <c r="A62" s="831" t="str">
        <f>L62</f>
        <v>OŹE (pompy ciepła)</v>
      </c>
      <c r="B62" s="823">
        <f t="shared" si="25"/>
        <v>293.45928296366242</v>
      </c>
      <c r="C62" s="1116"/>
      <c r="D62" s="824"/>
      <c r="E62" s="824"/>
      <c r="F62" s="824"/>
      <c r="G62" s="824"/>
      <c r="H62" s="824"/>
      <c r="I62" s="824"/>
      <c r="J62" s="824"/>
      <c r="L62" s="814" t="s">
        <v>589</v>
      </c>
      <c r="M62" s="825">
        <f t="shared" si="26"/>
        <v>350.22490259213816</v>
      </c>
      <c r="N62" s="826">
        <v>5.0000000000000001E-3</v>
      </c>
      <c r="O62" s="830"/>
      <c r="Q62" s="879">
        <f t="shared" si="28"/>
        <v>350.22490259213816</v>
      </c>
      <c r="R62" s="831" t="str">
        <f>R46</f>
        <v>pompy ciepła</v>
      </c>
      <c r="S62" s="823">
        <f t="shared" si="24"/>
        <v>56.765619628475726</v>
      </c>
      <c r="T62" s="1116"/>
      <c r="U62" s="824"/>
      <c r="V62" s="824"/>
      <c r="W62" s="824"/>
      <c r="X62" s="824"/>
      <c r="Y62" s="824"/>
      <c r="Z62" s="824"/>
      <c r="AA62" s="824"/>
    </row>
    <row r="63" spans="1:27">
      <c r="A63" s="832" t="s">
        <v>590</v>
      </c>
      <c r="B63" s="833">
        <f>SUM(B54:B62)</f>
        <v>58691.856592732474</v>
      </c>
      <c r="C63" s="834">
        <f>C54</f>
        <v>19474.678342160056</v>
      </c>
      <c r="D63" s="835">
        <f>SUM(D54:D62)</f>
        <v>13.111379265748583</v>
      </c>
      <c r="E63" s="835">
        <f t="shared" ref="E63:J63" si="29">SUM(E54:E62)</f>
        <v>12.027927593046742</v>
      </c>
      <c r="F63" s="835">
        <f t="shared" si="29"/>
        <v>20743.096417786724</v>
      </c>
      <c r="G63" s="836">
        <f t="shared" si="29"/>
        <v>1.2265424190749235E-2</v>
      </c>
      <c r="H63" s="835">
        <f t="shared" si="29"/>
        <v>38.019909744421291</v>
      </c>
      <c r="I63" s="835">
        <f t="shared" si="29"/>
        <v>7.6663303081427161</v>
      </c>
      <c r="J63" s="835">
        <f t="shared" si="29"/>
        <v>85.856490770172982</v>
      </c>
      <c r="L63" s="829"/>
      <c r="M63" s="825">
        <f t="shared" si="26"/>
        <v>0</v>
      </c>
      <c r="N63" s="829"/>
      <c r="O63" s="829"/>
      <c r="Q63" s="879">
        <f>SUM(Q54:Q62)</f>
        <v>70044.980518427605</v>
      </c>
      <c r="R63" s="832" t="s">
        <v>590</v>
      </c>
      <c r="S63" s="833">
        <f>SUM(S54:S62)</f>
        <v>11353.123925695143</v>
      </c>
      <c r="T63" s="834">
        <f>T54</f>
        <v>0</v>
      </c>
      <c r="U63" s="885">
        <f>SUM(U54:U62)</f>
        <v>0.63455924732896463</v>
      </c>
      <c r="V63" s="885">
        <f t="shared" ref="V63:AA63" si="30">SUM(V54:V62)</f>
        <v>0.56961790256787792</v>
      </c>
      <c r="W63" s="885">
        <f t="shared" si="30"/>
        <v>92.298219313967437</v>
      </c>
      <c r="X63" s="885">
        <f t="shared" si="30"/>
        <v>6.5831089083143298E-4</v>
      </c>
      <c r="Y63" s="885">
        <f t="shared" si="30"/>
        <v>3.6853367628012257</v>
      </c>
      <c r="Z63" s="885">
        <f t="shared" si="30"/>
        <v>1.4829450471742995</v>
      </c>
      <c r="AA63" s="885">
        <f t="shared" si="30"/>
        <v>9.3086205343419146E-2</v>
      </c>
    </row>
    <row r="64" spans="1:27">
      <c r="B64" s="837"/>
      <c r="D64" s="838">
        <f>D63</f>
        <v>13.111379265748583</v>
      </c>
      <c r="E64" s="838">
        <f>E63</f>
        <v>12.027927593046742</v>
      </c>
      <c r="F64" s="815">
        <f>F63/100</f>
        <v>207.43096417786725</v>
      </c>
      <c r="G64" s="838">
        <f>G63</f>
        <v>1.2265424190749235E-2</v>
      </c>
      <c r="H64" s="838">
        <f>H63</f>
        <v>38.019909744421291</v>
      </c>
      <c r="I64" s="838">
        <f>I63</f>
        <v>7.6663303081427161</v>
      </c>
      <c r="J64" s="838">
        <f>J63</f>
        <v>85.856490770172982</v>
      </c>
      <c r="L64" s="829" t="s">
        <v>297</v>
      </c>
      <c r="M64" s="839">
        <f>OPTI!R17</f>
        <v>70044.980518427634</v>
      </c>
      <c r="N64" s="840">
        <f>SUM(N54:N63)</f>
        <v>1</v>
      </c>
      <c r="O64" s="841">
        <f>SUM(O54:O63)</f>
        <v>1</v>
      </c>
      <c r="S64" s="907"/>
      <c r="U64" s="838">
        <f>U63+U47+U31+U15</f>
        <v>2.4727987050480991</v>
      </c>
      <c r="V64" s="838">
        <f t="shared" ref="V64:AA64" si="31">V63+V47+V31+V15</f>
        <v>2.2199827395649336</v>
      </c>
      <c r="W64" s="838">
        <f t="shared" si="31"/>
        <v>415.44821910944995</v>
      </c>
      <c r="X64" s="838">
        <f t="shared" si="31"/>
        <v>2.5694842500831542E-3</v>
      </c>
      <c r="Y64" s="838">
        <f t="shared" si="31"/>
        <v>14.46596781714441</v>
      </c>
      <c r="Z64" s="838">
        <f t="shared" si="31"/>
        <v>5.810004413058067</v>
      </c>
      <c r="AA64" s="838">
        <f t="shared" si="31"/>
        <v>0.36520481624223428</v>
      </c>
    </row>
    <row r="65" spans="1:19">
      <c r="A65" s="1124"/>
      <c r="B65" s="1124"/>
      <c r="C65" s="1124"/>
      <c r="D65" s="1124"/>
      <c r="E65" s="1124"/>
      <c r="F65" s="1124"/>
      <c r="G65" s="1124"/>
      <c r="H65" s="1124"/>
      <c r="I65" s="1124"/>
      <c r="J65" s="1124"/>
      <c r="K65" s="1124"/>
      <c r="L65" s="1124"/>
      <c r="M65" s="1124"/>
      <c r="N65" s="1124"/>
      <c r="O65" s="1124"/>
      <c r="R65" s="907"/>
      <c r="S65" s="907"/>
    </row>
    <row r="66" spans="1:19">
      <c r="L66" s="962" t="s">
        <v>637</v>
      </c>
      <c r="M66" s="997">
        <f>M64+M48+M32+M16</f>
        <v>341023.56262245518</v>
      </c>
      <c r="N66" s="997">
        <f>Q63+Q47+Q31+Q15</f>
        <v>353199.69553325191</v>
      </c>
      <c r="O66" s="964">
        <f>OPTI!C88</f>
        <v>341023.56262245512</v>
      </c>
    </row>
    <row r="67" spans="1:19" ht="15">
      <c r="A67" s="1117" t="s">
        <v>603</v>
      </c>
      <c r="B67" s="1117"/>
      <c r="C67" s="1117"/>
      <c r="D67" s="1117"/>
      <c r="E67" s="1117"/>
      <c r="F67" s="1117"/>
      <c r="G67" s="1117"/>
      <c r="H67" s="1117"/>
      <c r="I67" s="1117"/>
      <c r="J67" s="1117"/>
      <c r="N67" s="879"/>
    </row>
    <row r="68" spans="1:19" ht="24">
      <c r="A68" s="829"/>
      <c r="B68" s="848" t="s">
        <v>479</v>
      </c>
      <c r="C68" s="848" t="s">
        <v>604</v>
      </c>
      <c r="D68" s="866" t="s">
        <v>624</v>
      </c>
      <c r="E68" s="867" t="s">
        <v>623</v>
      </c>
    </row>
    <row r="69" spans="1:19" ht="14.25">
      <c r="A69" s="829" t="s">
        <v>426</v>
      </c>
      <c r="B69" s="853">
        <f>N6</f>
        <v>0</v>
      </c>
      <c r="C69" s="853">
        <f>(N9+N10)</f>
        <v>0</v>
      </c>
      <c r="D69" s="889">
        <f>OPTI!T26</f>
        <v>0.39442388429265585</v>
      </c>
      <c r="E69" s="870">
        <f>OPTI!B49</f>
        <v>0.8661581589412608</v>
      </c>
    </row>
    <row r="70" spans="1:19" ht="14.25">
      <c r="A70" s="829" t="s">
        <v>50</v>
      </c>
      <c r="B70" s="853">
        <f>N22</f>
        <v>0.73619018101272515</v>
      </c>
      <c r="C70" s="853">
        <f>(N25+N26)</f>
        <v>0.13</v>
      </c>
      <c r="D70" s="889">
        <f>OPTI!T8</f>
        <v>0.12335313734547726</v>
      </c>
      <c r="E70" s="870">
        <f>OPTI!B31</f>
        <v>0.24980999999999998</v>
      </c>
    </row>
    <row r="71" spans="1:19" ht="14.25">
      <c r="A71" s="829" t="s">
        <v>29</v>
      </c>
      <c r="B71" s="853">
        <f>N38</f>
        <v>0.15</v>
      </c>
      <c r="C71" s="853">
        <f>(N41+N42)</f>
        <v>0</v>
      </c>
      <c r="D71" s="889">
        <f>OPTI!T14</f>
        <v>0.25975535275867989</v>
      </c>
      <c r="E71" s="870">
        <f>OPTI!B37</f>
        <v>0.35694853145300098</v>
      </c>
    </row>
    <row r="72" spans="1:19" ht="14.25">
      <c r="A72" s="829" t="s">
        <v>412</v>
      </c>
      <c r="B72" s="853">
        <f>N54</f>
        <v>0.71499999999999986</v>
      </c>
      <c r="C72" s="853">
        <f>(N57+N58)</f>
        <v>0.13</v>
      </c>
      <c r="D72" s="889">
        <f>OPTI!T20</f>
        <v>0.16208333333333333</v>
      </c>
      <c r="E72" s="870">
        <f>OPTI!B43</f>
        <v>0.28515000000000007</v>
      </c>
    </row>
    <row r="74" spans="1:19" ht="12.75">
      <c r="A74" s="829" t="s">
        <v>426</v>
      </c>
      <c r="B74" s="498">
        <f>B84*(1-(B69*((1-B81)+E69*(1-B81)))-C69*((1-B82)+E69*(1-B82)))</f>
        <v>4.1668712518267382E-3</v>
      </c>
      <c r="C74" s="498">
        <f>C84*(1-(B69*((1-C81)+E69*(1-C81)))-C69*((1-C82)+E69*(1-C82)))</f>
        <v>4.1668712518267382E-3</v>
      </c>
      <c r="D74" s="869">
        <f>D84</f>
        <v>435.77867576486722</v>
      </c>
      <c r="E74" s="498">
        <f>E84*(1-(B69*((1-E81)+E69*(1-E81)))-C69*((1-E82)+E69*(1-E82)))</f>
        <v>1.1775940494292954E-5</v>
      </c>
      <c r="F74" s="498">
        <f>F84*(1-(B69*((1-F81)+E69*(1-F81)))-C69*((1-F82)+E69*(1-F82)))</f>
        <v>0.16549725602364018</v>
      </c>
      <c r="G74" s="498">
        <f>G84*(1-(B69*((1-G81)+E69*(1-G81)))-C69*((1-G82)+E69*(1-G82)))</f>
        <v>0.14584049381393585</v>
      </c>
      <c r="H74" s="498">
        <f>H84*(1-(B69*((1-H81)+E69*(1-H81)))-C69*((1-H82)+E69*(1-H82)))</f>
        <v>2.8651424943636258E-2</v>
      </c>
    </row>
    <row r="75" spans="1:19" ht="12.75">
      <c r="A75" s="829" t="s">
        <v>50</v>
      </c>
      <c r="B75" s="498">
        <f>B85*(1-(B70*((1-B81)+E70*(1-B81)))-C70*((1-B82)+E70*(1-B82)))</f>
        <v>12.640830154539557</v>
      </c>
      <c r="C75" s="498">
        <f>C85*(1-(B70*((1-C81)+E70*(1-C81)))-C70*((1-C82)+E70*(1-C82)))</f>
        <v>11.653749244901565</v>
      </c>
      <c r="D75" s="869">
        <f>D85</f>
        <v>23183.103846564853</v>
      </c>
      <c r="E75" s="498">
        <f>E85*(1-(B70*((1-E81)+E70*(1-E81)))-C70*((1-E82)+E70*(1-E82)))</f>
        <v>-3.3046801538879006E-3</v>
      </c>
      <c r="F75" s="498">
        <f>F85*(1-(B70*((1-F81)+E70*(1-F81)))-C70*((1-F82)+E70*(1-F82)))</f>
        <v>80.468034249867102</v>
      </c>
      <c r="G75" s="498">
        <f>G85*(1-(B70*((1-G81)+E70*(1-G81)))-C70*((1-G82)+E70*(1-G82)))</f>
        <v>32.163607073026085</v>
      </c>
      <c r="H75" s="498">
        <f>H85*(1-(B70*((1-H81)+E70*(1-H81)))-C70*((1-H82)+E70*(1-H82)))</f>
        <v>154.34679920911378</v>
      </c>
    </row>
    <row r="76" spans="1:19" ht="12.75">
      <c r="A76" s="829" t="s">
        <v>29</v>
      </c>
      <c r="B76" s="498">
        <f>B86*(1-(B71*((1-B81)+E71*(1-B81)))-C71*((1-B82)+E71*(1-B82)))</f>
        <v>0.18670600310359384</v>
      </c>
      <c r="C76" s="498">
        <f>C86*(1-(B71*((1-C81)+E71*(1-C81)))-C71*((1-C82)+E71*(1-C82)))</f>
        <v>0.16694118770689936</v>
      </c>
      <c r="D76" s="869">
        <f>D86</f>
        <v>313.80354749981905</v>
      </c>
      <c r="E76" s="498">
        <f>E86*(1-(B71*((1-E81)+E71*(1-E81)))-C71*((1-E82)+E71*(1-E82)))</f>
        <v>2.0744788101904993E-4</v>
      </c>
      <c r="F76" s="498">
        <f>F86*(1-(B71*((1-F81)+E71*(1-F81)))-C71*((1-F82)+E71*(1-F82)))</f>
        <v>0.81022435951498595</v>
      </c>
      <c r="G76" s="498">
        <f>G86*(1-(B71*((1-G81)+E71*(1-G81)))-C71*((1-G82)+E71*(1-G82)))</f>
        <v>0.17434023772257046</v>
      </c>
      <c r="H76" s="498">
        <f>H86*(1-(B71*((1-H81)+E71*(1-H81)))-C71*((1-H82)+E71*(1-H82)))</f>
        <v>1.7263261226208613</v>
      </c>
    </row>
    <row r="77" spans="1:19" ht="12.75">
      <c r="A77" s="829" t="s">
        <v>412</v>
      </c>
      <c r="B77" s="498">
        <f>B87*(1-(B72*((1-B81)+E72*(1-B81)))-C72*((1-B82)+E72*(1-B82)))</f>
        <v>3.2047906531627839</v>
      </c>
      <c r="C77" s="498">
        <f>C87*(1-(B72*((1-C81)+E72*(1-C81)))-C72*((1-C82)+E72*(1-C82)))</f>
        <v>2.9563131164350165</v>
      </c>
      <c r="D77" s="869">
        <f>D87</f>
        <v>20743.096417786724</v>
      </c>
      <c r="E77" s="498">
        <f>E87*(1-(B72*((1-E81)+E72*(1-E81)))-C72*((1-E82)+E72*(1-E82)))</f>
        <v>-8.8158343713076943E-4</v>
      </c>
      <c r="F77" s="498">
        <f>F87*(1-(B72*((1-F81)+E72*(1-F81)))-C72*((1-F82)+E72*(1-F82)))</f>
        <v>20.551999639045913</v>
      </c>
      <c r="G77" s="498">
        <f>G87*(1-(B72*((1-G81)+E72*(1-G81)))-C72*((1-G82)+E72*(1-G82)))</f>
        <v>8.1545377798423591</v>
      </c>
      <c r="H77" s="498">
        <f>H87*(1-(B72*((1-H81)+E72*(1-H81)))-C72*((1-H82)+E72*(1-H82)))</f>
        <v>39.238487569808896</v>
      </c>
    </row>
    <row r="78" spans="1:19" ht="12.75">
      <c r="A78" s="829" t="s">
        <v>220</v>
      </c>
      <c r="B78" s="829">
        <f>SUM(B74:B77)</f>
        <v>16.03649368205776</v>
      </c>
      <c r="C78" s="829">
        <f t="shared" ref="C78:H78" si="32">SUM(C74:C77)</f>
        <v>14.781170420295307</v>
      </c>
      <c r="D78" s="869">
        <f t="shared" si="32"/>
        <v>44675.782487616263</v>
      </c>
      <c r="E78" s="829">
        <f t="shared" si="32"/>
        <v>-3.967039769505327E-3</v>
      </c>
      <c r="F78" s="829">
        <f t="shared" si="32"/>
        <v>101.99575550445165</v>
      </c>
      <c r="G78" s="829">
        <f t="shared" si="32"/>
        <v>40.638325584404946</v>
      </c>
      <c r="H78" s="829">
        <f t="shared" si="32"/>
        <v>195.34026432648716</v>
      </c>
    </row>
    <row r="80" spans="1:19" ht="14.25">
      <c r="B80" s="855" t="s">
        <v>560</v>
      </c>
      <c r="C80" s="855" t="s">
        <v>561</v>
      </c>
      <c r="D80" s="855" t="s">
        <v>599</v>
      </c>
      <c r="E80" s="855" t="s">
        <v>600</v>
      </c>
      <c r="F80" s="855" t="s">
        <v>601</v>
      </c>
      <c r="G80" s="855" t="s">
        <v>602</v>
      </c>
      <c r="H80" s="856" t="s">
        <v>363</v>
      </c>
    </row>
    <row r="81" spans="1:8" ht="15">
      <c r="A81" s="815" t="s">
        <v>342</v>
      </c>
      <c r="B81" s="857">
        <f>Wskazniki!D50/Wskazniki!C50</f>
        <v>0.34666666666666668</v>
      </c>
      <c r="C81" s="858">
        <f>Wskazniki!D51/Wskazniki!C51</f>
        <v>0.34825870646766172</v>
      </c>
      <c r="D81" s="857">
        <f>Wskazniki!D52/Wskazniki!C52</f>
        <v>1</v>
      </c>
      <c r="E81" s="857">
        <f>Wskazniki!D53/Wskazniki!C53</f>
        <v>2.9259259259259261E-4</v>
      </c>
      <c r="F81" s="857">
        <f>Wskazniki!D54/Wskazniki!C54</f>
        <v>0.5</v>
      </c>
      <c r="G81" s="857">
        <f>Wskazniki!D55/Wskazniki!C55</f>
        <v>1.0443037974683544</v>
      </c>
      <c r="H81" s="859">
        <v>0.5</v>
      </c>
    </row>
    <row r="82" spans="1:8" ht="14.25">
      <c r="A82" s="815" t="s">
        <v>335</v>
      </c>
      <c r="B82" s="857">
        <f>Wskazniki!H50/Wskazniki!G50</f>
        <v>7.0833333333333331E-2</v>
      </c>
      <c r="C82" s="857">
        <f>Wskazniki!H51/Wskazniki!G51</f>
        <v>7.0212765957446813E-2</v>
      </c>
      <c r="D82" s="857">
        <v>1</v>
      </c>
      <c r="E82" s="857">
        <f>Wskazniki!H53/Wskazniki!G53</f>
        <v>8.2644628099173556E-2</v>
      </c>
      <c r="F82" s="857">
        <f>Wskazniki!H54/Wskazniki!G54</f>
        <v>1</v>
      </c>
      <c r="G82" s="857">
        <f>Wskazniki!H55/Wskazniki!G55</f>
        <v>1.1375</v>
      </c>
      <c r="H82" s="859">
        <v>0.5</v>
      </c>
    </row>
    <row r="84" spans="1:8">
      <c r="A84" s="829" t="s">
        <v>426</v>
      </c>
      <c r="B84" s="868">
        <f t="shared" ref="B84:H84" si="33">D15</f>
        <v>4.1668712518267382E-3</v>
      </c>
      <c r="C84" s="868">
        <f t="shared" si="33"/>
        <v>4.1668712518267382E-3</v>
      </c>
      <c r="D84" s="868">
        <f t="shared" si="33"/>
        <v>435.77867576486722</v>
      </c>
      <c r="E84" s="868">
        <f t="shared" si="33"/>
        <v>1.1775940494292954E-5</v>
      </c>
      <c r="F84" s="868">
        <f t="shared" si="33"/>
        <v>0.16549725602364018</v>
      </c>
      <c r="G84" s="868">
        <f t="shared" si="33"/>
        <v>0.14584049381393585</v>
      </c>
      <c r="H84" s="868">
        <f t="shared" si="33"/>
        <v>2.8651424943636258E-2</v>
      </c>
    </row>
    <row r="85" spans="1:8">
      <c r="A85" s="829" t="s">
        <v>50</v>
      </c>
      <c r="B85" s="868">
        <f t="shared" ref="B85:H85" si="34">D31</f>
        <v>50.991080372705973</v>
      </c>
      <c r="C85" s="868">
        <f t="shared" si="34"/>
        <v>46.752115850311675</v>
      </c>
      <c r="D85" s="868">
        <f t="shared" si="34"/>
        <v>23183.103846564853</v>
      </c>
      <c r="E85" s="868">
        <f t="shared" si="34"/>
        <v>4.7979983316867252E-2</v>
      </c>
      <c r="F85" s="868">
        <f t="shared" si="34"/>
        <v>149.02838050589449</v>
      </c>
      <c r="G85" s="868">
        <f t="shared" si="34"/>
        <v>30.254426236737789</v>
      </c>
      <c r="H85" s="868">
        <f t="shared" si="34"/>
        <v>336.47761504089306</v>
      </c>
    </row>
    <row r="86" spans="1:8">
      <c r="A86" s="829" t="s">
        <v>29</v>
      </c>
      <c r="B86" s="868">
        <f t="shared" ref="B86:H86" si="35">D47</f>
        <v>0.21534244768138772</v>
      </c>
      <c r="C86" s="868">
        <f t="shared" si="35"/>
        <v>0.19247422314885096</v>
      </c>
      <c r="D86" s="868">
        <f t="shared" si="35"/>
        <v>313.80354749981905</v>
      </c>
      <c r="E86" s="868">
        <f t="shared" si="35"/>
        <v>2.6044366828722408E-4</v>
      </c>
      <c r="F86" s="868">
        <f t="shared" si="35"/>
        <v>0.90202441211672724</v>
      </c>
      <c r="G86" s="868">
        <f t="shared" si="35"/>
        <v>0.17278214091249988</v>
      </c>
      <c r="H86" s="868">
        <f t="shared" si="35"/>
        <v>1.921922351002864</v>
      </c>
    </row>
    <row r="87" spans="1:8">
      <c r="A87" s="829" t="s">
        <v>412</v>
      </c>
      <c r="B87" s="868">
        <f t="shared" ref="B87:H87" si="36">D63</f>
        <v>13.111379265748583</v>
      </c>
      <c r="C87" s="868">
        <f t="shared" si="36"/>
        <v>12.027927593046742</v>
      </c>
      <c r="D87" s="868">
        <f t="shared" si="36"/>
        <v>20743.096417786724</v>
      </c>
      <c r="E87" s="868">
        <f t="shared" si="36"/>
        <v>1.2265424190749235E-2</v>
      </c>
      <c r="F87" s="868">
        <f t="shared" si="36"/>
        <v>38.019909744421291</v>
      </c>
      <c r="G87" s="868">
        <f t="shared" si="36"/>
        <v>7.6663303081427161</v>
      </c>
      <c r="H87" s="868">
        <f t="shared" si="36"/>
        <v>85.856490770172982</v>
      </c>
    </row>
  </sheetData>
  <mergeCells count="67">
    <mergeCell ref="A67:J67"/>
    <mergeCell ref="L36:N36"/>
    <mergeCell ref="A2:J2"/>
    <mergeCell ref="A3:C3"/>
    <mergeCell ref="D3:J4"/>
    <mergeCell ref="A18:J18"/>
    <mergeCell ref="A19:C19"/>
    <mergeCell ref="D19:J20"/>
    <mergeCell ref="A20:A21"/>
    <mergeCell ref="B20:B21"/>
    <mergeCell ref="C20:C21"/>
    <mergeCell ref="C6:C14"/>
    <mergeCell ref="B4:B5"/>
    <mergeCell ref="C4:C5"/>
    <mergeCell ref="L4:N4"/>
    <mergeCell ref="A4:A5"/>
    <mergeCell ref="A34:J34"/>
    <mergeCell ref="A35:C35"/>
    <mergeCell ref="D35:J36"/>
    <mergeCell ref="A36:A37"/>
    <mergeCell ref="B36:B37"/>
    <mergeCell ref="C36:C37"/>
    <mergeCell ref="A65:O65"/>
    <mergeCell ref="L52:N52"/>
    <mergeCell ref="C54:C62"/>
    <mergeCell ref="A1:O1"/>
    <mergeCell ref="A17:O17"/>
    <mergeCell ref="A33:O33"/>
    <mergeCell ref="A49:O49"/>
    <mergeCell ref="C38:C46"/>
    <mergeCell ref="A50:J50"/>
    <mergeCell ref="A51:C51"/>
    <mergeCell ref="D51:J52"/>
    <mergeCell ref="A52:A53"/>
    <mergeCell ref="B52:B53"/>
    <mergeCell ref="C52:C53"/>
    <mergeCell ref="L20:N20"/>
    <mergeCell ref="C22:C30"/>
    <mergeCell ref="R1:AA1"/>
    <mergeCell ref="R2:AA2"/>
    <mergeCell ref="R3:T3"/>
    <mergeCell ref="U3:AA4"/>
    <mergeCell ref="R4:R5"/>
    <mergeCell ref="S4:S5"/>
    <mergeCell ref="T4:T5"/>
    <mergeCell ref="T6:T14"/>
    <mergeCell ref="R18:AA18"/>
    <mergeCell ref="R19:T19"/>
    <mergeCell ref="U19:AA20"/>
    <mergeCell ref="R20:R21"/>
    <mergeCell ref="S20:S21"/>
    <mergeCell ref="T20:T21"/>
    <mergeCell ref="T22:T30"/>
    <mergeCell ref="R34:AA34"/>
    <mergeCell ref="R35:T35"/>
    <mergeCell ref="U35:AA36"/>
    <mergeCell ref="R36:R37"/>
    <mergeCell ref="S36:S37"/>
    <mergeCell ref="T36:T37"/>
    <mergeCell ref="T54:T62"/>
    <mergeCell ref="T38:T46"/>
    <mergeCell ref="R50:AA50"/>
    <mergeCell ref="R51:T51"/>
    <mergeCell ref="U51:AA52"/>
    <mergeCell ref="R52:R53"/>
    <mergeCell ref="S52:S53"/>
    <mergeCell ref="T52:T53"/>
  </mergeCells>
  <pageMargins left="0.7" right="0.7" top="0.75" bottom="0.75" header="0.3" footer="0.3"/>
  <pageSetup paperSize="9" scale="7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D8F0566-6908-4C20-A77D-062905D54125}">
          <x14:formula1>
            <xm:f>Wskazniki!$A$4:$A$10</xm:f>
          </x14:formula1>
          <xm:sqref>A6:A12 A22:A28 A38:A44 A54:A60 R6:R12 R54:R60 R22:R30 R38:R44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F1662-A7BD-4FFB-A443-5E5245EA72B1}">
  <sheetPr>
    <tabColor rgb="FF74E43C"/>
  </sheetPr>
  <dimension ref="A1:AI87"/>
  <sheetViews>
    <sheetView topLeftCell="H1" zoomScale="85" zoomScaleNormal="85" zoomScaleSheetLayoutView="85" workbookViewId="0">
      <pane ySplit="1" topLeftCell="A11" activePane="bottomLeft" state="frozen"/>
      <selection pane="bottomLeft" activeCell="Q12" sqref="Q12"/>
    </sheetView>
  </sheetViews>
  <sheetFormatPr defaultColWidth="10.28515625" defaultRowHeight="12"/>
  <cols>
    <col min="1" max="1" width="18.7109375" style="815" customWidth="1"/>
    <col min="2" max="2" width="11.7109375" style="815" customWidth="1"/>
    <col min="3" max="3" width="14.85546875" style="815" customWidth="1"/>
    <col min="4" max="4" width="11.5703125" style="815" customWidth="1"/>
    <col min="5" max="5" width="8.5703125" style="815" bestFit="1" customWidth="1"/>
    <col min="6" max="6" width="12.28515625" style="815" bestFit="1" customWidth="1"/>
    <col min="7" max="7" width="12.42578125" style="815" bestFit="1" customWidth="1"/>
    <col min="8" max="8" width="12.28515625" style="815" bestFit="1" customWidth="1"/>
    <col min="9" max="9" width="7.5703125" style="815" bestFit="1" customWidth="1"/>
    <col min="10" max="10" width="10" style="815" bestFit="1" customWidth="1"/>
    <col min="11" max="11" width="2.28515625" style="815" customWidth="1"/>
    <col min="12" max="12" width="21.85546875" style="815" bestFit="1" customWidth="1"/>
    <col min="13" max="13" width="16.5703125" style="815" customWidth="1"/>
    <col min="14" max="15" width="13" style="815" customWidth="1"/>
    <col min="16" max="16" width="10.28515625" style="815"/>
    <col min="17" max="17" width="17.28515625" style="815" bestFit="1" customWidth="1"/>
    <col min="18" max="19" width="10.28515625" style="815"/>
    <col min="20" max="20" width="11" style="815" customWidth="1"/>
    <col min="21" max="25" width="10.28515625" style="815"/>
    <col min="26" max="26" width="18.7109375" style="815" customWidth="1"/>
    <col min="27" max="27" width="11.7109375" style="815" customWidth="1"/>
    <col min="28" max="28" width="14.85546875" style="815" customWidth="1"/>
    <col min="29" max="29" width="11.5703125" style="815" customWidth="1"/>
    <col min="30" max="30" width="8.5703125" style="815" bestFit="1" customWidth="1"/>
    <col min="31" max="31" width="12.28515625" style="815" bestFit="1" customWidth="1"/>
    <col min="32" max="32" width="12.42578125" style="815" bestFit="1" customWidth="1"/>
    <col min="33" max="33" width="12.28515625" style="815" bestFit="1" customWidth="1"/>
    <col min="34" max="34" width="7.5703125" style="815" bestFit="1" customWidth="1"/>
    <col min="35" max="35" width="10" style="815" bestFit="1" customWidth="1"/>
    <col min="36" max="16384" width="10.28515625" style="815"/>
  </cols>
  <sheetData>
    <row r="1" spans="1:35" ht="21" customHeight="1">
      <c r="A1" s="1131" t="s">
        <v>595</v>
      </c>
      <c r="B1" s="1131"/>
      <c r="C1" s="1131"/>
      <c r="D1" s="1131"/>
      <c r="E1" s="1131"/>
      <c r="F1" s="1131"/>
      <c r="G1" s="1131"/>
      <c r="H1" s="1131"/>
      <c r="I1" s="1131"/>
      <c r="J1" s="1131"/>
      <c r="K1" s="1131"/>
      <c r="L1" s="1131"/>
      <c r="M1" s="1131"/>
      <c r="N1" s="1131"/>
      <c r="O1" s="1131"/>
      <c r="Z1" s="1123" t="s">
        <v>628</v>
      </c>
      <c r="AA1" s="1123"/>
      <c r="AB1" s="1123"/>
      <c r="AC1" s="1123"/>
      <c r="AD1" s="1123"/>
      <c r="AE1" s="1123"/>
      <c r="AF1" s="1123"/>
      <c r="AG1" s="1123"/>
      <c r="AH1" s="1123"/>
      <c r="AI1" s="1123"/>
    </row>
    <row r="2" spans="1:35" ht="15">
      <c r="A2" s="1117" t="s">
        <v>329</v>
      </c>
      <c r="B2" s="1117"/>
      <c r="C2" s="1117"/>
      <c r="D2" s="1117"/>
      <c r="E2" s="1117"/>
      <c r="F2" s="1117"/>
      <c r="G2" s="1117"/>
      <c r="H2" s="1117"/>
      <c r="I2" s="1117"/>
      <c r="J2" s="1117"/>
      <c r="Z2" s="1117" t="s">
        <v>329</v>
      </c>
      <c r="AA2" s="1117"/>
      <c r="AB2" s="1117"/>
      <c r="AC2" s="1117"/>
      <c r="AD2" s="1117"/>
      <c r="AE2" s="1117"/>
      <c r="AF2" s="1117"/>
      <c r="AG2" s="1117"/>
      <c r="AH2" s="1117"/>
      <c r="AI2" s="1117"/>
    </row>
    <row r="3" spans="1:35" ht="15">
      <c r="A3" s="1118" t="s">
        <v>582</v>
      </c>
      <c r="B3" s="1118"/>
      <c r="C3" s="1118"/>
      <c r="D3" s="1119" t="s">
        <v>629</v>
      </c>
      <c r="E3" s="1119"/>
      <c r="F3" s="1119"/>
      <c r="G3" s="1119"/>
      <c r="H3" s="1119"/>
      <c r="I3" s="1119"/>
      <c r="J3" s="1119"/>
      <c r="K3" s="842"/>
      <c r="Q3" s="847" t="s">
        <v>598</v>
      </c>
      <c r="Z3" s="1118" t="s">
        <v>582</v>
      </c>
      <c r="AA3" s="1118"/>
      <c r="AB3" s="1118"/>
      <c r="AC3" s="1119" t="s">
        <v>583</v>
      </c>
      <c r="AD3" s="1119"/>
      <c r="AE3" s="1119"/>
      <c r="AF3" s="1119"/>
      <c r="AG3" s="1119"/>
      <c r="AH3" s="1119"/>
      <c r="AI3" s="1119"/>
    </row>
    <row r="4" spans="1:35" s="816" customFormat="1" ht="46.5" customHeight="1">
      <c r="A4" s="1120" t="s">
        <v>516</v>
      </c>
      <c r="B4" s="1122" t="s">
        <v>591</v>
      </c>
      <c r="C4" s="1120" t="s">
        <v>594</v>
      </c>
      <c r="D4" s="1119"/>
      <c r="E4" s="1119"/>
      <c r="F4" s="1119"/>
      <c r="G4" s="1119"/>
      <c r="H4" s="1119"/>
      <c r="I4" s="1119"/>
      <c r="J4" s="1119"/>
      <c r="K4" s="843"/>
      <c r="L4" s="1125" t="s">
        <v>592</v>
      </c>
      <c r="M4" s="1125"/>
      <c r="N4" s="1125"/>
      <c r="O4" s="817" t="s">
        <v>643</v>
      </c>
      <c r="P4" s="818"/>
      <c r="Q4" s="821"/>
      <c r="R4" s="821">
        <v>2017</v>
      </c>
      <c r="S4" s="821">
        <v>2021</v>
      </c>
      <c r="T4" s="821">
        <v>2033</v>
      </c>
      <c r="Z4" s="1120" t="s">
        <v>516</v>
      </c>
      <c r="AA4" s="1122" t="s">
        <v>591</v>
      </c>
      <c r="AB4" s="1120" t="s">
        <v>594</v>
      </c>
      <c r="AC4" s="1119"/>
      <c r="AD4" s="1119"/>
      <c r="AE4" s="1119"/>
      <c r="AF4" s="1119"/>
      <c r="AG4" s="1119"/>
      <c r="AH4" s="1119"/>
      <c r="AI4" s="1119"/>
    </row>
    <row r="5" spans="1:35" s="816" customFormat="1" ht="14.25" customHeight="1">
      <c r="A5" s="1121"/>
      <c r="B5" s="1122"/>
      <c r="C5" s="1121"/>
      <c r="D5" s="819" t="s">
        <v>560</v>
      </c>
      <c r="E5" s="819" t="s">
        <v>561</v>
      </c>
      <c r="F5" s="819" t="s">
        <v>584</v>
      </c>
      <c r="G5" s="819" t="s">
        <v>461</v>
      </c>
      <c r="H5" s="819" t="s">
        <v>569</v>
      </c>
      <c r="I5" s="820" t="s">
        <v>571</v>
      </c>
      <c r="J5" s="819" t="s">
        <v>363</v>
      </c>
      <c r="K5" s="843"/>
      <c r="L5" s="822" t="s">
        <v>585</v>
      </c>
      <c r="M5" s="822" t="s">
        <v>586</v>
      </c>
      <c r="N5" s="822">
        <v>2030</v>
      </c>
      <c r="O5" s="821">
        <v>2020</v>
      </c>
      <c r="Q5" s="844" t="str">
        <f>A6</f>
        <v>węgiel</v>
      </c>
      <c r="R5" s="961">
        <f>SUM('[1]Struktura paliw łącznie'!P4)/1000</f>
        <v>250.60350256551058</v>
      </c>
      <c r="S5" s="961">
        <f>('2022 Emisja opti'!M6+'2022 Emisja opti'!M22+'2022 Emisja opti'!M38+'2022 Emisja opti'!M54)/1000</f>
        <v>239.03754737498804</v>
      </c>
      <c r="T5" s="961">
        <f>(M6+M22+M38+M54)/1000</f>
        <v>212.30807220248349</v>
      </c>
      <c r="Y5" s="816" t="s">
        <v>634</v>
      </c>
      <c r="Z5" s="1121"/>
      <c r="AA5" s="1122"/>
      <c r="AB5" s="1121"/>
      <c r="AC5" s="819" t="s">
        <v>560</v>
      </c>
      <c r="AD5" s="819" t="s">
        <v>561</v>
      </c>
      <c r="AE5" s="819" t="s">
        <v>584</v>
      </c>
      <c r="AF5" s="819" t="s">
        <v>461</v>
      </c>
      <c r="AG5" s="819" t="s">
        <v>569</v>
      </c>
      <c r="AH5" s="820" t="s">
        <v>571</v>
      </c>
      <c r="AI5" s="819" t="s">
        <v>363</v>
      </c>
    </row>
    <row r="6" spans="1:35" ht="15" customHeight="1">
      <c r="A6" s="814" t="s">
        <v>479</v>
      </c>
      <c r="B6" s="823">
        <f>M6-M6*$D$69</f>
        <v>0</v>
      </c>
      <c r="C6" s="1114">
        <f>'2022 Emisja opti'!C6:C14</f>
        <v>338.42</v>
      </c>
      <c r="D6" s="824">
        <f>$B$6*Wskazniki!B37</f>
        <v>0</v>
      </c>
      <c r="E6" s="824">
        <f>$B$6*Wskazniki!C37</f>
        <v>0</v>
      </c>
      <c r="F6" s="824">
        <f>$B$6*Wskazniki!D37</f>
        <v>0</v>
      </c>
      <c r="G6" s="824">
        <f>$B$6*Wskazniki!E37</f>
        <v>0</v>
      </c>
      <c r="H6" s="824">
        <f>$B$6*Wskazniki!F37</f>
        <v>0</v>
      </c>
      <c r="I6" s="824">
        <f>$B$6*Wskazniki!G37</f>
        <v>0</v>
      </c>
      <c r="J6" s="824">
        <f>$B$6*Wskazniki!H37</f>
        <v>0</v>
      </c>
      <c r="K6" s="842"/>
      <c r="L6" s="814" t="s">
        <v>479</v>
      </c>
      <c r="M6" s="825">
        <f t="shared" ref="M6:M15" si="0">N6*$M$16</f>
        <v>0</v>
      </c>
      <c r="N6" s="826">
        <f>O6</f>
        <v>0</v>
      </c>
      <c r="O6" s="826">
        <f>'2022 Emisja opti'!N6</f>
        <v>0</v>
      </c>
      <c r="Q6" s="844" t="s">
        <v>667</v>
      </c>
      <c r="R6" s="961">
        <f>SUM('[1]Struktura paliw łącznie'!P5)/1000</f>
        <v>9.4789999999999992</v>
      </c>
      <c r="S6" s="961">
        <f>('2022 Emisja opti'!M7+'2022 Emisja opti'!M23+'2022 Emisja opti'!M39+'2022 Emisja opti'!M55)/1000</f>
        <v>9.8567338434567819</v>
      </c>
      <c r="T6" s="961">
        <f t="shared" ref="T6:T13" si="1">(M7+M23+M39+M55)/1000</f>
        <v>11.507639320269218</v>
      </c>
      <c r="Y6" s="879">
        <f>AA6+B6</f>
        <v>0</v>
      </c>
      <c r="Z6" s="814" t="s">
        <v>479</v>
      </c>
      <c r="AA6" s="823">
        <f>M6*$D$69</f>
        <v>0</v>
      </c>
      <c r="AB6" s="1114">
        <f>'2022 Emisja opti'!T6:T14</f>
        <v>0</v>
      </c>
      <c r="AC6" s="884">
        <f>$AA$6*Wskazniki!K37</f>
        <v>0</v>
      </c>
      <c r="AD6" s="884">
        <f>$AA$6*Wskazniki!L37</f>
        <v>0</v>
      </c>
      <c r="AE6" s="884">
        <f>$AA$6*Wskazniki!M37</f>
        <v>0</v>
      </c>
      <c r="AF6" s="884">
        <f>$AA$6*Wskazniki!N37</f>
        <v>0</v>
      </c>
      <c r="AG6" s="884">
        <f>$AA$6*Wskazniki!O37</f>
        <v>0</v>
      </c>
      <c r="AH6" s="884">
        <f>$AA$6*Wskazniki!P37</f>
        <v>0</v>
      </c>
      <c r="AI6" s="884">
        <f>$AA$6*Wskazniki!Q37</f>
        <v>0</v>
      </c>
    </row>
    <row r="7" spans="1:35">
      <c r="A7" s="814" t="s">
        <v>480</v>
      </c>
      <c r="B7" s="823">
        <f t="shared" ref="B7:B14" si="2">M7-M7*$D$69</f>
        <v>391.42952415877926</v>
      </c>
      <c r="C7" s="1115"/>
      <c r="D7" s="824">
        <f>Wskazniki!B38*'2032 Emisja opti'!$B$7</f>
        <v>0</v>
      </c>
      <c r="E7" s="824">
        <f>Wskazniki!C38*'2032 Emisja opti'!$B$7</f>
        <v>0</v>
      </c>
      <c r="F7" s="960">
        <f>Wskazniki!D38*'2032 Emisja opti'!$B$7</f>
        <v>0</v>
      </c>
      <c r="G7" s="824">
        <f>Wskazniki!E38*'2032 Emisja opti'!$B$7</f>
        <v>0</v>
      </c>
      <c r="H7" s="824">
        <f>Wskazniki!F38*'2032 Emisja opti'!$B$7</f>
        <v>0</v>
      </c>
      <c r="I7" s="824">
        <f>Wskazniki!G38*'2032 Emisja opti'!$B$7</f>
        <v>0</v>
      </c>
      <c r="J7" s="824">
        <f>Wskazniki!H38*'2032 Emisja opti'!$B$7</f>
        <v>0</v>
      </c>
      <c r="K7" s="842"/>
      <c r="L7" s="814" t="str">
        <f>A7</f>
        <v>sieć ciepłownicza</v>
      </c>
      <c r="M7" s="825">
        <f t="shared" si="0"/>
        <v>3100.0417532078932</v>
      </c>
      <c r="N7" s="826">
        <v>0.55000000000000004</v>
      </c>
      <c r="O7" s="826">
        <f>'2022 Emisja opti'!N7</f>
        <v>0.4</v>
      </c>
      <c r="Q7" s="844" t="str">
        <f t="shared" ref="Q6:Q14" si="3">A8</f>
        <v>gaz</v>
      </c>
      <c r="R7" s="961">
        <f>SUM('[1]Struktura paliw łącznie'!P6)/1000</f>
        <v>29.165621499999993</v>
      </c>
      <c r="S7" s="961">
        <f>('2022 Emisja opti'!M8+'2022 Emisja opti'!M24+'2022 Emisja opti'!M40+'2022 Emisja opti'!M56)/1000</f>
        <v>33.438495455203125</v>
      </c>
      <c r="T7" s="961">
        <f>(M8+M24+M40+M56)/1000</f>
        <v>49.319195847241502</v>
      </c>
      <c r="U7" s="815">
        <f>S7/R7</f>
        <v>1.1465037854654712</v>
      </c>
      <c r="V7" s="815">
        <f>T7/R7</f>
        <v>1.6910044535564419</v>
      </c>
      <c r="Y7" s="879">
        <f t="shared" ref="Y7:Y14" si="4">AA7+B7</f>
        <v>3100.0417532078932</v>
      </c>
      <c r="Z7" s="814" t="s">
        <v>480</v>
      </c>
      <c r="AA7" s="823">
        <f t="shared" ref="AA7:AA14" si="5">M7*$D$69</f>
        <v>2708.6122290491139</v>
      </c>
      <c r="AB7" s="1115"/>
      <c r="AC7" s="824">
        <f>Wskazniki!AA38*'2032 Emisja opti'!$B$7</f>
        <v>0</v>
      </c>
      <c r="AD7" s="824">
        <f>Wskazniki!AB38*'2032 Emisja opti'!$B$7</f>
        <v>0</v>
      </c>
      <c r="AE7" s="824">
        <f>Wskazniki!AC38*'2032 Emisja opti'!$B$7</f>
        <v>0</v>
      </c>
      <c r="AF7" s="824">
        <f>Wskazniki!AD38*'2032 Emisja opti'!$B$7</f>
        <v>0</v>
      </c>
      <c r="AG7" s="824">
        <f>Wskazniki!AE38*'2032 Emisja opti'!$B$7</f>
        <v>0</v>
      </c>
      <c r="AH7" s="824">
        <f>Wskazniki!AF38*'2032 Emisja opti'!$B$7</f>
        <v>0</v>
      </c>
      <c r="AI7" s="824">
        <f>Wskazniki!AG38*'2032 Emisja opti'!$B$7</f>
        <v>0</v>
      </c>
    </row>
    <row r="8" spans="1:35" ht="15" customHeight="1">
      <c r="A8" s="814" t="s">
        <v>331</v>
      </c>
      <c r="B8" s="966">
        <f t="shared" si="2"/>
        <v>213.50701317751577</v>
      </c>
      <c r="C8" s="1115"/>
      <c r="D8" s="824">
        <f>$B$8*Wskazniki!B39</f>
        <v>1.0675350658875788E-4</v>
      </c>
      <c r="E8" s="824">
        <f>$B$8*Wskazniki!C39</f>
        <v>1.0675350658875788E-4</v>
      </c>
      <c r="F8" s="824">
        <f>$B$8*Wskazniki!D39</f>
        <v>11.91796147556893</v>
      </c>
      <c r="G8" s="824">
        <f>$B$8*Wskazniki!E39</f>
        <v>0</v>
      </c>
      <c r="H8" s="824">
        <f>$B$8*Wskazniki!F39</f>
        <v>1.0675350658875788E-4</v>
      </c>
      <c r="I8" s="824">
        <f>$B$8*Wskazniki!G39</f>
        <v>1.0675350658875789E-2</v>
      </c>
      <c r="J8" s="824">
        <f>$B$8*Wskazniki!H39</f>
        <v>1.6013025988313684E-3</v>
      </c>
      <c r="K8" s="842"/>
      <c r="L8" s="814" t="s">
        <v>331</v>
      </c>
      <c r="M8" s="825">
        <f>N8*$M$16</f>
        <v>1690.9318653861233</v>
      </c>
      <c r="N8" s="826">
        <v>0.3</v>
      </c>
      <c r="O8" s="826">
        <f>'2022 Emisja opti'!N8</f>
        <v>0.28000000000000003</v>
      </c>
      <c r="Q8" s="844" t="str">
        <f t="shared" si="3"/>
        <v>drewno</v>
      </c>
      <c r="R8" s="961">
        <f>SUM('[1]Struktura paliw łącznie'!P7)/1000</f>
        <v>28.967743856442041</v>
      </c>
      <c r="S8" s="961">
        <f>('2022 Emisja opti'!M9+'2022 Emisja opti'!M25+'2022 Emisja opti'!M41+'2022 Emisja opti'!M57)/1000</f>
        <v>27.845775731685229</v>
      </c>
      <c r="T8" s="961">
        <f t="shared" si="1"/>
        <v>26.607911143291219</v>
      </c>
      <c r="U8" s="815">
        <f>'2032 Emisja zaniech'!S7/'2032 Emisja zaniech'!R7</f>
        <v>1.1243991620378595</v>
      </c>
      <c r="V8" s="815">
        <f>'2032 Emisja zaniech'!T7/'2032 Emisja zaniech'!R7</f>
        <v>1.1942469442934096</v>
      </c>
      <c r="Y8" s="879">
        <f t="shared" si="4"/>
        <v>1690.9318653861233</v>
      </c>
      <c r="Z8" s="814" t="s">
        <v>331</v>
      </c>
      <c r="AA8" s="823">
        <f t="shared" si="5"/>
        <v>1477.4248522086075</v>
      </c>
      <c r="AB8" s="1115"/>
      <c r="AC8" s="824">
        <f>$AA$8*Wskazniki!B39</f>
        <v>7.3871242610430374E-4</v>
      </c>
      <c r="AD8" s="824">
        <f>$AA$8*Wskazniki!C39</f>
        <v>7.3871242610430374E-4</v>
      </c>
      <c r="AE8" s="824">
        <f>$AA$8*Wskazniki!D39</f>
        <v>82.469855250284468</v>
      </c>
      <c r="AF8" s="824">
        <f>$AA$8*Wskazniki!E39</f>
        <v>0</v>
      </c>
      <c r="AG8" s="824">
        <f>$AA$8*Wskazniki!F39</f>
        <v>7.3871242610430374E-4</v>
      </c>
      <c r="AH8" s="824">
        <f>$AA$8*Wskazniki!G39</f>
        <v>7.3871242610430377E-2</v>
      </c>
      <c r="AI8" s="824">
        <f>$AA$8*Wskazniki!H39</f>
        <v>1.1080686391564556E-2</v>
      </c>
    </row>
    <row r="9" spans="1:35">
      <c r="A9" s="814" t="s">
        <v>335</v>
      </c>
      <c r="B9" s="823">
        <f t="shared" si="2"/>
        <v>0</v>
      </c>
      <c r="C9" s="1115"/>
      <c r="D9" s="824">
        <f>$B$9*Wskazniki!B40</f>
        <v>0</v>
      </c>
      <c r="E9" s="824">
        <f>$B$9*Wskazniki!C40</f>
        <v>0</v>
      </c>
      <c r="F9" s="824">
        <f>$B$9*Wskazniki!D40</f>
        <v>0</v>
      </c>
      <c r="G9" s="824">
        <f>$B$9*Wskazniki!E40</f>
        <v>0</v>
      </c>
      <c r="H9" s="824">
        <f>$B$9*Wskazniki!F40</f>
        <v>0</v>
      </c>
      <c r="I9" s="824">
        <f>$B$9*Wskazniki!G40</f>
        <v>0</v>
      </c>
      <c r="J9" s="824">
        <f>$B$9*Wskazniki!H40</f>
        <v>0</v>
      </c>
      <c r="K9" s="842"/>
      <c r="L9" s="814" t="s">
        <v>335</v>
      </c>
      <c r="M9" s="825">
        <f t="shared" si="0"/>
        <v>0</v>
      </c>
      <c r="N9" s="826">
        <f t="shared" ref="N9:N12" si="6">O9</f>
        <v>0</v>
      </c>
      <c r="O9" s="826">
        <f>'2022 Emisja opti'!N9</f>
        <v>0</v>
      </c>
      <c r="Q9" s="844" t="str">
        <f t="shared" si="3"/>
        <v>pelet</v>
      </c>
      <c r="R9" s="961">
        <f>SUM('[1]Struktura paliw łącznie'!P8)/1000</f>
        <v>11.051283618268929</v>
      </c>
      <c r="S9" s="961">
        <f>('2022 Emisja opti'!M10+'2022 Emisja opti'!M26+'2022 Emisja opti'!M42+'2022 Emisja opti'!M58)/1000</f>
        <v>14.399421984614678</v>
      </c>
      <c r="T9" s="961">
        <f t="shared" si="1"/>
        <v>18.657599816352281</v>
      </c>
      <c r="U9" s="815">
        <f>SUM(U7:U8)/2</f>
        <v>1.1354514737516652</v>
      </c>
      <c r="V9" s="815">
        <f>SUM(V7:V8)/2</f>
        <v>1.4426256989249258</v>
      </c>
      <c r="Y9" s="879">
        <f t="shared" si="4"/>
        <v>0</v>
      </c>
      <c r="Z9" s="814" t="s">
        <v>335</v>
      </c>
      <c r="AA9" s="823">
        <f t="shared" si="5"/>
        <v>0</v>
      </c>
      <c r="AB9" s="1115"/>
      <c r="AC9" s="884">
        <f>$AA$9*Wskazniki!K40</f>
        <v>0</v>
      </c>
      <c r="AD9" s="884">
        <f>$AA$9*Wskazniki!L40</f>
        <v>0</v>
      </c>
      <c r="AE9" s="884">
        <f>$AA$9*Wskazniki!M40</f>
        <v>0</v>
      </c>
      <c r="AF9" s="884">
        <f>$AA$9*Wskazniki!N40</f>
        <v>0</v>
      </c>
      <c r="AG9" s="884">
        <f>$AA$9*Wskazniki!O40</f>
        <v>0</v>
      </c>
      <c r="AH9" s="884">
        <f>$AA$9*Wskazniki!P40</f>
        <v>0</v>
      </c>
      <c r="AI9" s="884">
        <f>$AA$9*Wskazniki!Q40</f>
        <v>0</v>
      </c>
    </row>
    <row r="10" spans="1:35">
      <c r="A10" s="814" t="s">
        <v>337</v>
      </c>
      <c r="B10" s="823">
        <f>M10-M10*$D$69</f>
        <v>0</v>
      </c>
      <c r="C10" s="1115"/>
      <c r="D10" s="824">
        <f>$B$10*Wskazniki!B41</f>
        <v>0</v>
      </c>
      <c r="E10" s="824">
        <f>$B$10*Wskazniki!C41</f>
        <v>0</v>
      </c>
      <c r="F10" s="824">
        <f>$B$10*Wskazniki!D41</f>
        <v>0</v>
      </c>
      <c r="G10" s="824">
        <f>$B$10*Wskazniki!E41</f>
        <v>0</v>
      </c>
      <c r="H10" s="824">
        <f>$B$10*Wskazniki!F41</f>
        <v>0</v>
      </c>
      <c r="I10" s="824">
        <f>$B$10*Wskazniki!G41</f>
        <v>0</v>
      </c>
      <c r="J10" s="824">
        <f>$B$10*Wskazniki!H41</f>
        <v>0</v>
      </c>
      <c r="K10" s="842"/>
      <c r="L10" s="814" t="s">
        <v>337</v>
      </c>
      <c r="M10" s="825">
        <f t="shared" si="0"/>
        <v>0</v>
      </c>
      <c r="N10" s="826">
        <f t="shared" si="6"/>
        <v>0</v>
      </c>
      <c r="O10" s="826">
        <f>'2022 Emisja opti'!N10</f>
        <v>0</v>
      </c>
      <c r="Q10" s="844" t="str">
        <f t="shared" si="3"/>
        <v>olej opałowy</v>
      </c>
      <c r="R10" s="961">
        <f>SUM('[1]Struktura paliw łącznie'!P9)/1000</f>
        <v>16.260403942576815</v>
      </c>
      <c r="S10" s="961">
        <f>('2022 Emisja opti'!M11+'2022 Emisja opti'!M27+'2022 Emisja opti'!M43+'2022 Emisja opti'!M59)/1000</f>
        <v>8.8729124544701961</v>
      </c>
      <c r="T10" s="961">
        <f t="shared" si="1"/>
        <v>0.48948756784386899</v>
      </c>
      <c r="Y10" s="879">
        <f t="shared" si="4"/>
        <v>0</v>
      </c>
      <c r="Z10" s="814" t="s">
        <v>337</v>
      </c>
      <c r="AA10" s="823">
        <f t="shared" si="5"/>
        <v>0</v>
      </c>
      <c r="AB10" s="1115"/>
      <c r="AC10" s="884">
        <f>$AA$10*Wskazniki!K41</f>
        <v>0</v>
      </c>
      <c r="AD10" s="884">
        <f>$AA$10*Wskazniki!L41</f>
        <v>0</v>
      </c>
      <c r="AE10" s="884">
        <f>$AA$10*Wskazniki!M41</f>
        <v>0</v>
      </c>
      <c r="AF10" s="884">
        <f>$AA$10*Wskazniki!N41</f>
        <v>0</v>
      </c>
      <c r="AG10" s="884">
        <f>$AA$10*Wskazniki!O41</f>
        <v>0</v>
      </c>
      <c r="AH10" s="884">
        <f>$AA$10*Wskazniki!P41</f>
        <v>0</v>
      </c>
      <c r="AI10" s="884">
        <f>$AA$10*Wskazniki!Q41</f>
        <v>0</v>
      </c>
    </row>
    <row r="11" spans="1:35">
      <c r="A11" s="814" t="s">
        <v>338</v>
      </c>
      <c r="B11" s="823">
        <f t="shared" si="2"/>
        <v>7.1169004392504931</v>
      </c>
      <c r="C11" s="1115"/>
      <c r="D11" s="824">
        <f>$B$11*Wskazniki!B42</f>
        <v>2.1350701317751479E-5</v>
      </c>
      <c r="E11" s="824">
        <f>$B$11*Wskazniki!C42</f>
        <v>2.1350701317751479E-5</v>
      </c>
      <c r="F11" s="824">
        <f>$B$11*Wskazniki!D42</f>
        <v>0.54508340464219529</v>
      </c>
      <c r="G11" s="824">
        <f>$B$11*Wskazniki!E42</f>
        <v>7.1169004392504938E-8</v>
      </c>
      <c r="H11" s="824">
        <f>$B$11*Wskazniki!F42</f>
        <v>9.9636606149506885E-4</v>
      </c>
      <c r="I11" s="824">
        <f>$B$11*Wskazniki!G42</f>
        <v>4.9818303074753443E-4</v>
      </c>
      <c r="J11" s="824">
        <f>$B$11*Wskazniki!H42</f>
        <v>1.1567492510686475E-4</v>
      </c>
      <c r="K11" s="842"/>
      <c r="L11" s="814" t="s">
        <v>587</v>
      </c>
      <c r="M11" s="825">
        <f t="shared" si="0"/>
        <v>56.364395512870516</v>
      </c>
      <c r="N11" s="826">
        <f>100%-N6-N7-N8-N9-N12-N13-N14</f>
        <v>9.9999999999999534E-3</v>
      </c>
      <c r="O11" s="826">
        <f>'2022 Emisja opti'!N11</f>
        <v>0.2599999999999999</v>
      </c>
      <c r="Q11" s="844" t="s">
        <v>668</v>
      </c>
      <c r="R11" s="961">
        <f>SUM('[1]Struktura paliw łącznie'!P10)/1000</f>
        <v>1.9993802142467803</v>
      </c>
      <c r="S11" s="961">
        <f>('2022 Emisja opti'!M12+'2022 Emisja opti'!M28+'2022 Emisja opti'!M44+'2022 Emisja opti'!M60)/1000</f>
        <v>1.3698972179430402</v>
      </c>
      <c r="T11" s="961">
        <f t="shared" si="1"/>
        <v>0.69084442294026938</v>
      </c>
      <c r="Y11" s="879">
        <f t="shared" si="4"/>
        <v>56.364395512870516</v>
      </c>
      <c r="Z11" s="814" t="s">
        <v>338</v>
      </c>
      <c r="AA11" s="823">
        <f t="shared" si="5"/>
        <v>49.247495073620023</v>
      </c>
      <c r="AB11" s="1115"/>
      <c r="AC11" s="824">
        <f>$AA$11*Wskazniki!K42</f>
        <v>1.4774248522086007E-4</v>
      </c>
      <c r="AD11" s="824">
        <f>$AA$11*Wskazniki!L42</f>
        <v>1.4774248522086007E-4</v>
      </c>
      <c r="AE11" s="824">
        <f>$AA$11*Wskazniki!M42</f>
        <v>3.7718656476885579</v>
      </c>
      <c r="AF11" s="824">
        <f>$AA$11*Wskazniki!N42</f>
        <v>4.9247495073620019E-7</v>
      </c>
      <c r="AG11" s="824">
        <f>$AA$11*Wskazniki!O42</f>
        <v>6.8946493103068029E-3</v>
      </c>
      <c r="AH11" s="824">
        <f>$AA$11*Wskazniki!P42</f>
        <v>3.4473246551534015E-3</v>
      </c>
      <c r="AI11" s="824">
        <f>$AA$11*Wskazniki!Q42</f>
        <v>8.0044681711770966E-4</v>
      </c>
    </row>
    <row r="12" spans="1:35" ht="15" customHeight="1">
      <c r="A12" s="814" t="s">
        <v>531</v>
      </c>
      <c r="B12" s="823">
        <f t="shared" si="2"/>
        <v>0</v>
      </c>
      <c r="C12" s="1115"/>
      <c r="D12" s="824">
        <v>0</v>
      </c>
      <c r="E12" s="824">
        <v>0</v>
      </c>
      <c r="F12" s="960">
        <f>(C6*Wskazniki!D43)+(B12+M12)*Wskazniki!D43</f>
        <v>274.79704000000004</v>
      </c>
      <c r="G12" s="824">
        <v>0</v>
      </c>
      <c r="H12" s="824">
        <v>0</v>
      </c>
      <c r="I12" s="824">
        <v>0</v>
      </c>
      <c r="J12" s="824">
        <v>0</v>
      </c>
      <c r="K12" s="842"/>
      <c r="L12" s="814" t="s">
        <v>531</v>
      </c>
      <c r="M12" s="825">
        <f t="shared" si="0"/>
        <v>0</v>
      </c>
      <c r="N12" s="826">
        <f t="shared" si="6"/>
        <v>0</v>
      </c>
      <c r="O12" s="826">
        <f>'2022 Emisja opti'!N12</f>
        <v>0</v>
      </c>
      <c r="Q12" s="844" t="str">
        <f>A13</f>
        <v>kolektory słoneczne</v>
      </c>
      <c r="R12" s="961">
        <f>SUM('[1]Struktura paliw łącznie'!P11)/1000</f>
        <v>1.5114761713974243</v>
      </c>
      <c r="S12" s="961">
        <f>('2022 Emisja opti'!M13+'2022 Emisja opti'!M29+'2022 Emisja opti'!M45+'2022 Emisja opti'!M61)/1000</f>
        <v>3.1163935710256228</v>
      </c>
      <c r="T12" s="961">
        <f t="shared" si="1"/>
        <v>4.8898575361395533</v>
      </c>
      <c r="Y12" s="879">
        <f t="shared" si="4"/>
        <v>0</v>
      </c>
      <c r="Z12" s="814" t="s">
        <v>531</v>
      </c>
      <c r="AA12" s="823">
        <f t="shared" si="5"/>
        <v>0</v>
      </c>
      <c r="AB12" s="1115"/>
      <c r="AC12" s="824">
        <v>0</v>
      </c>
      <c r="AD12" s="824">
        <v>0</v>
      </c>
      <c r="AE12" s="824">
        <f>(AB6*Wskazniki!AC43)</f>
        <v>0</v>
      </c>
      <c r="AF12" s="824">
        <v>0</v>
      </c>
      <c r="AG12" s="824">
        <v>0</v>
      </c>
      <c r="AH12" s="824">
        <v>0</v>
      </c>
      <c r="AI12" s="824">
        <v>0</v>
      </c>
    </row>
    <row r="13" spans="1:35">
      <c r="A13" s="831" t="s">
        <v>539</v>
      </c>
      <c r="B13" s="823">
        <f t="shared" si="2"/>
        <v>28.467601757002114</v>
      </c>
      <c r="C13" s="1115"/>
      <c r="D13" s="824"/>
      <c r="E13" s="824"/>
      <c r="F13" s="824"/>
      <c r="G13" s="824"/>
      <c r="H13" s="824"/>
      <c r="I13" s="824"/>
      <c r="J13" s="824"/>
      <c r="K13" s="842"/>
      <c r="L13" s="814" t="s">
        <v>482</v>
      </c>
      <c r="M13" s="825">
        <f t="shared" si="0"/>
        <v>225.45758205148312</v>
      </c>
      <c r="N13" s="826">
        <v>0.04</v>
      </c>
      <c r="O13" s="826">
        <f>'2022 Emisja opti'!N13</f>
        <v>3.5000000000000003E-2</v>
      </c>
      <c r="Q13" s="844" t="str">
        <f t="shared" si="3"/>
        <v>pompy ciepła</v>
      </c>
      <c r="R13" s="961">
        <f>SUM('[1]Struktura paliw łącznie'!P12)/1000</f>
        <v>1.4196702142467803</v>
      </c>
      <c r="S13" s="961">
        <f>('2022 Emisja opti'!M14+'2022 Emisja opti'!M30+'2022 Emisja opti'!M46+'2022 Emisja opti'!M62)/1000</f>
        <v>3.0863849890684452</v>
      </c>
      <c r="T13" s="961">
        <f t="shared" si="1"/>
        <v>9.5478217179955465</v>
      </c>
      <c r="Y13" s="879">
        <f t="shared" si="4"/>
        <v>225.45758205148312</v>
      </c>
      <c r="Z13" s="831" t="s">
        <v>539</v>
      </c>
      <c r="AA13" s="823">
        <f t="shared" si="5"/>
        <v>196.989980294481</v>
      </c>
      <c r="AB13" s="1115"/>
      <c r="AC13" s="824"/>
      <c r="AD13" s="824"/>
      <c r="AE13" s="824"/>
      <c r="AF13" s="824"/>
      <c r="AG13" s="824"/>
      <c r="AH13" s="824"/>
      <c r="AI13" s="824"/>
    </row>
    <row r="14" spans="1:35">
      <c r="A14" s="831" t="s">
        <v>597</v>
      </c>
      <c r="B14" s="823">
        <f t="shared" si="2"/>
        <v>71.169004392505315</v>
      </c>
      <c r="C14" s="1116"/>
      <c r="D14" s="824"/>
      <c r="E14" s="824"/>
      <c r="F14" s="824"/>
      <c r="G14" s="824"/>
      <c r="H14" s="824"/>
      <c r="I14" s="824"/>
      <c r="J14" s="824"/>
      <c r="K14" s="842"/>
      <c r="L14" s="814" t="s">
        <v>589</v>
      </c>
      <c r="M14" s="825">
        <f t="shared" si="0"/>
        <v>563.64395512870783</v>
      </c>
      <c r="N14" s="826">
        <v>0.1</v>
      </c>
      <c r="O14" s="826">
        <f>'2022 Emisja opti'!N14</f>
        <v>2.5000000000000001E-2</v>
      </c>
      <c r="Q14" s="844" t="str">
        <f t="shared" si="3"/>
        <v>Suma:</v>
      </c>
      <c r="R14" s="829">
        <f>SUM(R5:R13)</f>
        <v>350.45808208268937</v>
      </c>
      <c r="S14" s="834">
        <f t="shared" ref="S14:T14" si="7">SUM(S5:S13)</f>
        <v>341.02356262245519</v>
      </c>
      <c r="T14" s="834">
        <f t="shared" si="7"/>
        <v>334.01842957455693</v>
      </c>
      <c r="Y14" s="879">
        <f t="shared" si="4"/>
        <v>563.64395512870783</v>
      </c>
      <c r="Z14" s="831" t="s">
        <v>597</v>
      </c>
      <c r="AA14" s="823">
        <f t="shared" si="5"/>
        <v>492.47495073620252</v>
      </c>
      <c r="AB14" s="1116"/>
      <c r="AC14" s="824"/>
      <c r="AD14" s="824"/>
      <c r="AE14" s="824"/>
      <c r="AF14" s="824"/>
      <c r="AG14" s="824"/>
      <c r="AH14" s="824"/>
      <c r="AI14" s="824"/>
    </row>
    <row r="15" spans="1:35">
      <c r="A15" s="832" t="s">
        <v>590</v>
      </c>
      <c r="B15" s="833">
        <f>SUM(B6:B14)</f>
        <v>711.69004392505281</v>
      </c>
      <c r="C15" s="834">
        <f>C6</f>
        <v>338.42</v>
      </c>
      <c r="D15" s="835">
        <f>SUM(D6:D14)</f>
        <v>1.2810420790650937E-4</v>
      </c>
      <c r="E15" s="835">
        <f t="shared" ref="E15:J15" si="8">SUM(E6:E14)</f>
        <v>1.2810420790650937E-4</v>
      </c>
      <c r="F15" s="835">
        <f t="shared" si="8"/>
        <v>287.26008488021114</v>
      </c>
      <c r="G15" s="836">
        <f t="shared" si="8"/>
        <v>7.1169004392504938E-8</v>
      </c>
      <c r="H15" s="835">
        <f t="shared" si="8"/>
        <v>1.1031195680838268E-3</v>
      </c>
      <c r="I15" s="835">
        <f t="shared" si="8"/>
        <v>1.1173533689623323E-2</v>
      </c>
      <c r="J15" s="835">
        <f t="shared" si="8"/>
        <v>1.716977523938233E-3</v>
      </c>
      <c r="K15" s="842"/>
      <c r="L15" s="829"/>
      <c r="M15" s="825">
        <f t="shared" si="0"/>
        <v>0</v>
      </c>
      <c r="N15" s="829"/>
      <c r="O15" s="829"/>
      <c r="R15" s="965">
        <f>BILANS!V43/1000</f>
        <v>347.71500720308057</v>
      </c>
      <c r="S15" s="964">
        <f>OPTI!C88/1000</f>
        <v>341.02356262245513</v>
      </c>
      <c r="T15" s="964">
        <f>OPTI!E88/1000</f>
        <v>325.44653919266159</v>
      </c>
      <c r="Y15" s="879">
        <f>SUM(Y6:Y14)</f>
        <v>5636.4395512870778</v>
      </c>
      <c r="Z15" s="832" t="s">
        <v>590</v>
      </c>
      <c r="AA15" s="833">
        <f>SUM(AA6:AA14)</f>
        <v>4924.7495073620239</v>
      </c>
      <c r="AB15" s="834">
        <f>AB6</f>
        <v>0</v>
      </c>
      <c r="AC15" s="885">
        <f>SUM(AC6:AC14)</f>
        <v>8.8645491132516383E-4</v>
      </c>
      <c r="AD15" s="885">
        <f t="shared" ref="AD15:AI15" si="9">SUM(AD6:AD14)</f>
        <v>8.8645491132516383E-4</v>
      </c>
      <c r="AE15" s="885">
        <f t="shared" si="9"/>
        <v>86.241720897973025</v>
      </c>
      <c r="AF15" s="885">
        <f t="shared" si="9"/>
        <v>4.9247495073620019E-7</v>
      </c>
      <c r="AG15" s="885">
        <f t="shared" si="9"/>
        <v>7.6333617364111065E-3</v>
      </c>
      <c r="AH15" s="885">
        <f t="shared" si="9"/>
        <v>7.7318567265583782E-2</v>
      </c>
      <c r="AI15" s="885">
        <f t="shared" si="9"/>
        <v>1.1881133208682266E-2</v>
      </c>
    </row>
    <row r="16" spans="1:35">
      <c r="B16" s="837"/>
      <c r="D16" s="838"/>
      <c r="E16" s="838"/>
      <c r="G16" s="838"/>
      <c r="H16" s="838"/>
      <c r="I16" s="838"/>
      <c r="J16" s="838"/>
      <c r="K16" s="842"/>
      <c r="L16" s="829" t="s">
        <v>297</v>
      </c>
      <c r="M16" s="839">
        <f>OPTI!R49</f>
        <v>5636.4395512870778</v>
      </c>
      <c r="N16" s="840">
        <f>SUM(N6:N15)</f>
        <v>1.0000000000000002</v>
      </c>
      <c r="O16" s="841">
        <f>SUM(O6:O15)</f>
        <v>1</v>
      </c>
      <c r="R16" s="815">
        <f>R14-R15</f>
        <v>2.7430748796087983</v>
      </c>
      <c r="S16" s="815">
        <f>S14-S15</f>
        <v>0</v>
      </c>
      <c r="T16" s="815">
        <f>T14-T15</f>
        <v>8.5718903818953436</v>
      </c>
      <c r="AA16" s="837"/>
      <c r="AC16" s="838"/>
      <c r="AD16" s="838"/>
      <c r="AF16" s="838"/>
      <c r="AG16" s="838"/>
      <c r="AH16" s="838"/>
      <c r="AI16" s="838"/>
    </row>
    <row r="17" spans="1:35" ht="9.75" customHeight="1">
      <c r="A17" s="1124"/>
      <c r="B17" s="1124"/>
      <c r="C17" s="1124"/>
      <c r="D17" s="1124"/>
      <c r="E17" s="1124"/>
      <c r="F17" s="1124"/>
      <c r="G17" s="1124"/>
      <c r="H17" s="1124"/>
      <c r="I17" s="1124"/>
      <c r="J17" s="1124"/>
      <c r="K17" s="1124"/>
      <c r="L17" s="1124"/>
      <c r="M17" s="1124"/>
      <c r="N17" s="1124"/>
      <c r="O17" s="1124"/>
    </row>
    <row r="18" spans="1:35" ht="15">
      <c r="A18" s="1117" t="s">
        <v>307</v>
      </c>
      <c r="B18" s="1117"/>
      <c r="C18" s="1117"/>
      <c r="D18" s="1117"/>
      <c r="E18" s="1117"/>
      <c r="F18" s="1117"/>
      <c r="G18" s="1117"/>
      <c r="H18" s="1117"/>
      <c r="I18" s="1117"/>
      <c r="J18" s="1117"/>
      <c r="K18" s="842"/>
      <c r="Z18" s="1117" t="s">
        <v>307</v>
      </c>
      <c r="AA18" s="1117"/>
      <c r="AB18" s="1117"/>
      <c r="AC18" s="1117"/>
      <c r="AD18" s="1117"/>
      <c r="AE18" s="1117"/>
      <c r="AF18" s="1117"/>
      <c r="AG18" s="1117"/>
      <c r="AH18" s="1117"/>
      <c r="AI18" s="1117"/>
    </row>
    <row r="19" spans="1:35">
      <c r="A19" s="1118" t="s">
        <v>582</v>
      </c>
      <c r="B19" s="1118"/>
      <c r="C19" s="1118"/>
      <c r="D19" s="1119" t="s">
        <v>583</v>
      </c>
      <c r="E19" s="1119"/>
      <c r="F19" s="1119"/>
      <c r="G19" s="1119"/>
      <c r="H19" s="1119"/>
      <c r="I19" s="1119"/>
      <c r="J19" s="1119"/>
      <c r="K19" s="842"/>
      <c r="Z19" s="1118" t="s">
        <v>582</v>
      </c>
      <c r="AA19" s="1118"/>
      <c r="AB19" s="1118"/>
      <c r="AC19" s="1119" t="s">
        <v>583</v>
      </c>
      <c r="AD19" s="1119"/>
      <c r="AE19" s="1119"/>
      <c r="AF19" s="1119"/>
      <c r="AG19" s="1119"/>
      <c r="AH19" s="1119"/>
      <c r="AI19" s="1119"/>
    </row>
    <row r="20" spans="1:35" s="816" customFormat="1" ht="46.5" customHeight="1">
      <c r="A20" s="1120" t="s">
        <v>516</v>
      </c>
      <c r="B20" s="1122" t="s">
        <v>591</v>
      </c>
      <c r="C20" s="1120" t="s">
        <v>594</v>
      </c>
      <c r="D20" s="1119"/>
      <c r="E20" s="1119"/>
      <c r="F20" s="1119"/>
      <c r="G20" s="1119"/>
      <c r="H20" s="1119"/>
      <c r="I20" s="1119"/>
      <c r="J20" s="1119"/>
      <c r="K20" s="843"/>
      <c r="L20" s="1125" t="s">
        <v>592</v>
      </c>
      <c r="M20" s="1125"/>
      <c r="N20" s="1125"/>
      <c r="O20" s="817" t="s">
        <v>593</v>
      </c>
      <c r="P20" s="818"/>
      <c r="Z20" s="1120" t="s">
        <v>516</v>
      </c>
      <c r="AA20" s="1122" t="s">
        <v>591</v>
      </c>
      <c r="AB20" s="1120" t="s">
        <v>594</v>
      </c>
      <c r="AC20" s="1119"/>
      <c r="AD20" s="1119"/>
      <c r="AE20" s="1119"/>
      <c r="AF20" s="1119"/>
      <c r="AG20" s="1119"/>
      <c r="AH20" s="1119"/>
      <c r="AI20" s="1119"/>
    </row>
    <row r="21" spans="1:35" s="816" customFormat="1" ht="14.25" customHeight="1">
      <c r="A21" s="1121"/>
      <c r="B21" s="1122"/>
      <c r="C21" s="1121"/>
      <c r="D21" s="819" t="s">
        <v>560</v>
      </c>
      <c r="E21" s="819" t="s">
        <v>561</v>
      </c>
      <c r="F21" s="819" t="s">
        <v>584</v>
      </c>
      <c r="G21" s="819" t="s">
        <v>461</v>
      </c>
      <c r="H21" s="819" t="s">
        <v>569</v>
      </c>
      <c r="I21" s="820" t="s">
        <v>571</v>
      </c>
      <c r="J21" s="819" t="s">
        <v>363</v>
      </c>
      <c r="K21" s="843"/>
      <c r="L21" s="822" t="s">
        <v>585</v>
      </c>
      <c r="M21" s="822" t="s">
        <v>586</v>
      </c>
      <c r="N21" s="822">
        <v>2030</v>
      </c>
      <c r="O21" s="821">
        <v>2016</v>
      </c>
      <c r="Z21" s="1121"/>
      <c r="AA21" s="1122"/>
      <c r="AB21" s="1121"/>
      <c r="AC21" s="819" t="s">
        <v>560</v>
      </c>
      <c r="AD21" s="819" t="s">
        <v>561</v>
      </c>
      <c r="AE21" s="819" t="s">
        <v>584</v>
      </c>
      <c r="AF21" s="819" t="s">
        <v>461</v>
      </c>
      <c r="AG21" s="819" t="s">
        <v>569</v>
      </c>
      <c r="AH21" s="820" t="s">
        <v>571</v>
      </c>
      <c r="AI21" s="819" t="s">
        <v>363</v>
      </c>
    </row>
    <row r="22" spans="1:35" ht="15" customHeight="1">
      <c r="A22" s="814" t="s">
        <v>479</v>
      </c>
      <c r="B22" s="823">
        <f>M22-M22*$D$70</f>
        <v>102783.21760502065</v>
      </c>
      <c r="C22" s="1114">
        <f>'2022 Emisja opti'!C22:C30</f>
        <v>4990.8</v>
      </c>
      <c r="D22" s="824">
        <f>$B$22*Wskazniki!B37</f>
        <v>23.126223961129647</v>
      </c>
      <c r="E22" s="824">
        <f>$B$22*Wskazniki!C37</f>
        <v>20.659426738609152</v>
      </c>
      <c r="F22" s="824">
        <f>$B$22*Wskazniki!D37</f>
        <v>9634.8988182946341</v>
      </c>
      <c r="G22" s="824">
        <f>$B$22*Wskazniki!E37</f>
        <v>2.7751468753355577E-2</v>
      </c>
      <c r="H22" s="824">
        <f>$B$22*Wskazniki!F37</f>
        <v>92.504895844518586</v>
      </c>
      <c r="I22" s="824">
        <f>$B$22*Wskazniki!G37</f>
        <v>16.239748381593262</v>
      </c>
      <c r="J22" s="824">
        <f>$B$22*Wskazniki!H37</f>
        <v>206.76105463683186</v>
      </c>
      <c r="K22" s="842"/>
      <c r="L22" s="814" t="s">
        <v>479</v>
      </c>
      <c r="M22" s="825">
        <f t="shared" ref="M22:M30" si="10">N22*$M$32</f>
        <v>165781.59306585664</v>
      </c>
      <c r="N22" s="826">
        <f>100%-N23-N24-N25-N27-N26-N28-N29-N30</f>
        <v>0.68494723531654278</v>
      </c>
      <c r="O22" s="826">
        <f>'2022 Emisja opti'!N22</f>
        <v>0.73619018101272515</v>
      </c>
      <c r="Y22" s="879">
        <f>AA22+B22</f>
        <v>165781.59306585664</v>
      </c>
      <c r="Z22" s="814" t="str">
        <f>Z6</f>
        <v>węgiel</v>
      </c>
      <c r="AA22" s="823">
        <f>M22*$D$70</f>
        <v>62998.375460835981</v>
      </c>
      <c r="AB22" s="1114">
        <f>'2022 Emisja opti'!T22:T30</f>
        <v>0</v>
      </c>
      <c r="AC22" s="884">
        <f>$AA$22*Wskazniki!K37</f>
        <v>4.9138732859452068</v>
      </c>
      <c r="AD22" s="884">
        <f>$AA$22*Wskazniki!L37</f>
        <v>4.4098862822585181</v>
      </c>
      <c r="AE22" s="884">
        <f>$AA$22*Wskazniki!M37</f>
        <v>5.9054677156987641</v>
      </c>
      <c r="AF22" s="884">
        <f>$AA$22*Wskazniki!N37</f>
        <v>4.9768716614060427E-3</v>
      </c>
      <c r="AG22" s="884">
        <f>$AA$22*Wskazniki!O37</f>
        <v>28.349268957376189</v>
      </c>
      <c r="AH22" s="884">
        <f>$AA$22*Wskazniki!P37</f>
        <v>9.953743322812084</v>
      </c>
      <c r="AI22" s="884">
        <f>$AA$22*Wskazniki!Q37</f>
        <v>0</v>
      </c>
    </row>
    <row r="23" spans="1:35">
      <c r="A23" s="814" t="s">
        <v>480</v>
      </c>
      <c r="B23" s="823">
        <f t="shared" ref="B23:B30" si="11">M23-M23*$D$70</f>
        <v>0</v>
      </c>
      <c r="C23" s="1115"/>
      <c r="D23" s="824">
        <f>Wskazniki!B38*'2032 Emisja opti'!$B$23</f>
        <v>0</v>
      </c>
      <c r="E23" s="824">
        <f>Wskazniki!C38*'2032 Emisja opti'!$B$23</f>
        <v>0</v>
      </c>
      <c r="F23" s="824">
        <f>Wskazniki!D38*'2032 Emisja opti'!$B$23</f>
        <v>0</v>
      </c>
      <c r="G23" s="824">
        <f>Wskazniki!E38*'2032 Emisja opti'!$B$23</f>
        <v>0</v>
      </c>
      <c r="H23" s="824">
        <f>Wskazniki!F38*'2032 Emisja opti'!$B$23</f>
        <v>0</v>
      </c>
      <c r="I23" s="824">
        <f>Wskazniki!G38*'2032 Emisja opti'!$B$23</f>
        <v>0</v>
      </c>
      <c r="J23" s="824">
        <f>Wskazniki!H38*'2032 Emisja opti'!$B$23</f>
        <v>0</v>
      </c>
      <c r="K23" s="842"/>
      <c r="L23" s="814" t="str">
        <f>A23</f>
        <v>sieć ciepłownicza</v>
      </c>
      <c r="M23" s="825">
        <f t="shared" si="10"/>
        <v>0</v>
      </c>
      <c r="N23" s="826">
        <v>0</v>
      </c>
      <c r="O23" s="826">
        <f>'2022 Emisja opti'!N23</f>
        <v>0</v>
      </c>
      <c r="Y23" s="879">
        <f t="shared" ref="Y23:Y30" si="12">AA23+B23</f>
        <v>0</v>
      </c>
      <c r="Z23" s="814" t="str">
        <f t="shared" ref="Z23:Z30" si="13">Z7</f>
        <v>sieć ciepłownicza</v>
      </c>
      <c r="AA23" s="823">
        <f t="shared" ref="AA23:AA29" si="14">M23*$D$70</f>
        <v>0</v>
      </c>
      <c r="AB23" s="1115"/>
      <c r="AC23" s="824">
        <f>Wskazniki!AA38*'2032 Emisja opti'!$B$23</f>
        <v>0</v>
      </c>
      <c r="AD23" s="824">
        <f>Wskazniki!AB38*'2032 Emisja opti'!$B$23</f>
        <v>0</v>
      </c>
      <c r="AE23" s="824">
        <f>Wskazniki!AC38*'2032 Emisja opti'!$B$23</f>
        <v>0</v>
      </c>
      <c r="AF23" s="824">
        <f>Wskazniki!AD38*'2032 Emisja opti'!$B$23</f>
        <v>0</v>
      </c>
      <c r="AG23" s="824">
        <f>Wskazniki!AE38*'2032 Emisja opti'!$B$23</f>
        <v>0</v>
      </c>
      <c r="AH23" s="824">
        <f>Wskazniki!AF38*'2032 Emisja opti'!$B$23</f>
        <v>0</v>
      </c>
      <c r="AI23" s="824">
        <f>Wskazniki!AG38*'2032 Emisja opti'!$B$23</f>
        <v>0</v>
      </c>
    </row>
    <row r="24" spans="1:35" ht="15" customHeight="1">
      <c r="A24" s="814" t="s">
        <v>331</v>
      </c>
      <c r="B24" s="966">
        <f t="shared" si="11"/>
        <v>23029.505177058629</v>
      </c>
      <c r="C24" s="1115"/>
      <c r="D24" s="824">
        <f>$B$24*Wskazniki!B39</f>
        <v>1.1514752588529313E-2</v>
      </c>
      <c r="E24" s="824">
        <f>$B$24*Wskazniki!C39</f>
        <v>1.1514752588529313E-2</v>
      </c>
      <c r="F24" s="824">
        <f>$B$24*Wskazniki!D39</f>
        <v>1285.5069789834126</v>
      </c>
      <c r="G24" s="824">
        <f>$B$24*Wskazniki!E39</f>
        <v>0</v>
      </c>
      <c r="H24" s="824">
        <f>$B$24*Wskazniki!F39</f>
        <v>1.1514752588529313E-2</v>
      </c>
      <c r="I24" s="824">
        <f>$B$24*Wskazniki!G39</f>
        <v>1.1514752588529316</v>
      </c>
      <c r="J24" s="824">
        <f>$B$24*Wskazniki!H39</f>
        <v>0.17272128882793972</v>
      </c>
      <c r="K24" s="842"/>
      <c r="L24" s="814" t="s">
        <v>331</v>
      </c>
      <c r="M24" s="967">
        <f>N24*$M$32*1.3</f>
        <v>37144.858321546461</v>
      </c>
      <c r="N24" s="826">
        <f>O24*P24</f>
        <v>0.11805276468345731</v>
      </c>
      <c r="O24" s="826">
        <f>'2022 Emisja opti'!N24</f>
        <v>9.0809818987274846E-2</v>
      </c>
      <c r="P24" s="815">
        <v>1.3</v>
      </c>
      <c r="Y24" s="879">
        <f t="shared" si="12"/>
        <v>37144.858321546461</v>
      </c>
      <c r="Z24" s="814" t="str">
        <f t="shared" si="13"/>
        <v>gaz</v>
      </c>
      <c r="AA24" s="823">
        <f t="shared" si="14"/>
        <v>14115.353144487832</v>
      </c>
      <c r="AB24" s="1115"/>
      <c r="AC24" s="824">
        <f>$AA$24*Wskazniki!B39</f>
        <v>7.0576765722439152E-3</v>
      </c>
      <c r="AD24" s="824">
        <f>$AA$24*Wskazniki!C39</f>
        <v>7.0576765722439152E-3</v>
      </c>
      <c r="AE24" s="824">
        <f>$AA$24*Wskazniki!D39</f>
        <v>787.91901252531079</v>
      </c>
      <c r="AF24" s="824">
        <f>$AA$24*Wskazniki!E39</f>
        <v>0</v>
      </c>
      <c r="AG24" s="824">
        <f>$AA$24*Wskazniki!F39</f>
        <v>7.0576765722439152E-3</v>
      </c>
      <c r="AH24" s="824">
        <f>$AA$24*Wskazniki!G39</f>
        <v>0.70576765722439161</v>
      </c>
      <c r="AI24" s="824">
        <f>$AA$24*Wskazniki!H39</f>
        <v>0.10586514858365874</v>
      </c>
    </row>
    <row r="25" spans="1:35">
      <c r="A25" s="814" t="s">
        <v>335</v>
      </c>
      <c r="B25" s="823">
        <f t="shared" si="11"/>
        <v>13505.404661100383</v>
      </c>
      <c r="C25" s="1115"/>
      <c r="D25" s="824">
        <f>$B$25*Wskazniki!B40</f>
        <v>6.4825942373281844</v>
      </c>
      <c r="E25" s="824">
        <f>$B$25*Wskazniki!C40</f>
        <v>6.3475401907171802</v>
      </c>
      <c r="F25" s="824">
        <f>$B$25*Wskazniki!D40</f>
        <v>0</v>
      </c>
      <c r="G25" s="824">
        <f>$B$25*Wskazniki!E40</f>
        <v>1.6341539639931465E-3</v>
      </c>
      <c r="H25" s="824">
        <f>$B$25*Wskazniki!F40</f>
        <v>0.14855945127210421</v>
      </c>
      <c r="I25" s="824">
        <f>$B$25*Wskazniki!G40</f>
        <v>1.0804323728880307</v>
      </c>
      <c r="J25" s="824">
        <f>$B$25*Wskazniki!H40</f>
        <v>2.4228695962014086</v>
      </c>
      <c r="K25" s="842"/>
      <c r="L25" s="814" t="s">
        <v>335</v>
      </c>
      <c r="M25" s="825">
        <f t="shared" si="10"/>
        <v>21783.201108961013</v>
      </c>
      <c r="N25" s="826">
        <f t="shared" ref="N25" si="15">O25</f>
        <v>0.09</v>
      </c>
      <c r="O25" s="826">
        <f>'2022 Emisja opti'!N25</f>
        <v>0.09</v>
      </c>
      <c r="Y25" s="879">
        <f t="shared" si="12"/>
        <v>21783.201108961013</v>
      </c>
      <c r="Z25" s="814" t="str">
        <f t="shared" si="13"/>
        <v>drewno</v>
      </c>
      <c r="AA25" s="823">
        <f t="shared" si="14"/>
        <v>8277.79644786063</v>
      </c>
      <c r="AB25" s="1115"/>
      <c r="AC25" s="884">
        <f>$AA$25*Wskazniki!K40</f>
        <v>2.8144507922726143E-4</v>
      </c>
      <c r="AD25" s="884">
        <f>$AA$25*Wskazniki!L40</f>
        <v>2.7316728277940075E-4</v>
      </c>
      <c r="AE25" s="884">
        <f>$AA$25*Wskazniki!M40</f>
        <v>0</v>
      </c>
      <c r="AF25" s="884">
        <f>$AA$25*Wskazniki!N40</f>
        <v>8.2777964478606298E-5</v>
      </c>
      <c r="AG25" s="884">
        <f>$AA$25*Wskazniki!O40</f>
        <v>9.1055760926466925E-5</v>
      </c>
      <c r="AH25" s="884">
        <f>$AA$25*Wskazniki!P40</f>
        <v>0.66222371582885042</v>
      </c>
      <c r="AI25" s="884">
        <f>$AA$25*Wskazniki!Q40</f>
        <v>0.44551100482385908</v>
      </c>
    </row>
    <row r="26" spans="1:35">
      <c r="A26" s="814" t="s">
        <v>337</v>
      </c>
      <c r="B26" s="823">
        <f t="shared" si="11"/>
        <v>9003.6031074002567</v>
      </c>
      <c r="C26" s="1115"/>
      <c r="D26" s="824">
        <f>$B$26*Wskazniki!B41</f>
        <v>4.3217294915521229</v>
      </c>
      <c r="E26" s="824">
        <f>$B$26*Wskazniki!C41</f>
        <v>4.2316934604781204</v>
      </c>
      <c r="F26" s="824">
        <f>$B$26*Wskazniki!D41</f>
        <v>0</v>
      </c>
      <c r="G26" s="824">
        <f>$B$26*Wskazniki!E41</f>
        <v>1.0894359759954311E-3</v>
      </c>
      <c r="H26" s="824">
        <f>$B$26*Wskazniki!F41</f>
        <v>9.9039634181402825E-2</v>
      </c>
      <c r="I26" s="824">
        <f>$B$26*Wskazniki!G41</f>
        <v>0.72028824859202056</v>
      </c>
      <c r="J26" s="824">
        <f>$B$26*Wskazniki!H41</f>
        <v>1.6152463974676061</v>
      </c>
      <c r="K26" s="842"/>
      <c r="L26" s="814" t="s">
        <v>337</v>
      </c>
      <c r="M26" s="825">
        <f t="shared" si="10"/>
        <v>14522.134072640676</v>
      </c>
      <c r="N26" s="826">
        <v>0.06</v>
      </c>
      <c r="O26" s="826">
        <f>'2022 Emisja opti'!N26</f>
        <v>0.04</v>
      </c>
      <c r="Y26" s="879">
        <f t="shared" si="12"/>
        <v>14522.134072640678</v>
      </c>
      <c r="Z26" s="814" t="str">
        <f t="shared" si="13"/>
        <v>pelet</v>
      </c>
      <c r="AA26" s="823">
        <f t="shared" si="14"/>
        <v>5518.5309652404203</v>
      </c>
      <c r="AB26" s="1115"/>
      <c r="AC26" s="884">
        <f>$AA$26*Wskazniki!K41</f>
        <v>1.8763005281817428E-4</v>
      </c>
      <c r="AD26" s="884">
        <f>$AA$26*Wskazniki!L41</f>
        <v>1.8211152185293385E-4</v>
      </c>
      <c r="AE26" s="884">
        <f>$AA$26*Wskazniki!M41</f>
        <v>0</v>
      </c>
      <c r="AF26" s="884">
        <f>$AA$26*Wskazniki!N41</f>
        <v>5.5185309652404203E-5</v>
      </c>
      <c r="AG26" s="884">
        <f>$AA$26*Wskazniki!O41</f>
        <v>6.0703840617644617E-5</v>
      </c>
      <c r="AH26" s="884">
        <f>$AA$26*Wskazniki!P41</f>
        <v>0.44148247721923367</v>
      </c>
      <c r="AI26" s="884">
        <f>$AA$26*Wskazniki!Q41</f>
        <v>0.29700733654923939</v>
      </c>
    </row>
    <row r="27" spans="1:35">
      <c r="A27" s="814" t="s">
        <v>338</v>
      </c>
      <c r="B27" s="823">
        <f t="shared" si="11"/>
        <v>0</v>
      </c>
      <c r="C27" s="1115"/>
      <c r="D27" s="824">
        <f>$B$27*Wskazniki!B42</f>
        <v>0</v>
      </c>
      <c r="E27" s="824">
        <f>$B$27*Wskazniki!C42</f>
        <v>0</v>
      </c>
      <c r="F27" s="824">
        <f>$B$27*Wskazniki!D42</f>
        <v>0</v>
      </c>
      <c r="G27" s="824">
        <f>$B$27*Wskazniki!E42</f>
        <v>0</v>
      </c>
      <c r="H27" s="824">
        <f>$B$27*Wskazniki!F42</f>
        <v>0</v>
      </c>
      <c r="I27" s="824">
        <f>$B$27*Wskazniki!G42</f>
        <v>0</v>
      </c>
      <c r="J27" s="824">
        <f>$B$27*Wskazniki!H42</f>
        <v>0</v>
      </c>
      <c r="K27" s="842"/>
      <c r="L27" s="814" t="s">
        <v>587</v>
      </c>
      <c r="M27" s="825">
        <f t="shared" si="10"/>
        <v>0</v>
      </c>
      <c r="N27" s="826">
        <v>0</v>
      </c>
      <c r="O27" s="826">
        <f>'2022 Emisja opti'!N27</f>
        <v>0.02</v>
      </c>
      <c r="Y27" s="879">
        <f t="shared" si="12"/>
        <v>0</v>
      </c>
      <c r="Z27" s="814" t="str">
        <f t="shared" si="13"/>
        <v>olej opałowy</v>
      </c>
      <c r="AA27" s="823">
        <f t="shared" si="14"/>
        <v>0</v>
      </c>
      <c r="AB27" s="1115"/>
      <c r="AC27" s="824">
        <f>$AA$27*Wskazniki!K42</f>
        <v>0</v>
      </c>
      <c r="AD27" s="824">
        <f>$AA$27*Wskazniki!L42</f>
        <v>0</v>
      </c>
      <c r="AE27" s="824">
        <f>$AA$27*Wskazniki!M42</f>
        <v>0</v>
      </c>
      <c r="AF27" s="824">
        <f>$AA$27*Wskazniki!N42</f>
        <v>0</v>
      </c>
      <c r="AG27" s="824">
        <f>$AA$27*Wskazniki!O42</f>
        <v>0</v>
      </c>
      <c r="AH27" s="824">
        <f>$AA$27*Wskazniki!P42</f>
        <v>0</v>
      </c>
      <c r="AI27" s="824">
        <f>$AA$27*Wskazniki!Q42</f>
        <v>0</v>
      </c>
    </row>
    <row r="28" spans="1:35" ht="15" customHeight="1">
      <c r="A28" s="814" t="s">
        <v>531</v>
      </c>
      <c r="B28" s="823">
        <f t="shared" si="11"/>
        <v>300.1201035800085</v>
      </c>
      <c r="C28" s="1115"/>
      <c r="D28" s="824">
        <v>0</v>
      </c>
      <c r="E28" s="824">
        <v>0</v>
      </c>
      <c r="F28" s="960">
        <f>(C22*Wskazniki!D43)+(B28+M28)*Wskazniki!D43</f>
        <v>4689.2928863397747</v>
      </c>
      <c r="G28" s="824">
        <v>0</v>
      </c>
      <c r="H28" s="824">
        <v>0</v>
      </c>
      <c r="I28" s="824">
        <v>0</v>
      </c>
      <c r="J28" s="824">
        <v>0</v>
      </c>
      <c r="K28" s="842"/>
      <c r="L28" s="814" t="s">
        <v>531</v>
      </c>
      <c r="M28" s="825">
        <f t="shared" si="10"/>
        <v>484.07113575468924</v>
      </c>
      <c r="N28" s="826">
        <v>2E-3</v>
      </c>
      <c r="O28" s="826">
        <f>'2022 Emisja opti'!N28</f>
        <v>4.0000000000000001E-3</v>
      </c>
      <c r="Y28" s="879">
        <f t="shared" si="12"/>
        <v>484.07113575468918</v>
      </c>
      <c r="Z28" s="814" t="str">
        <f t="shared" si="13"/>
        <v>prąd</v>
      </c>
      <c r="AA28" s="823">
        <f t="shared" si="14"/>
        <v>183.95103217468071</v>
      </c>
      <c r="AB28" s="1115"/>
      <c r="AC28" s="824">
        <v>0</v>
      </c>
      <c r="AD28" s="824">
        <v>0</v>
      </c>
      <c r="AE28" s="824">
        <f>(AB22*Wskazniki!AC43)</f>
        <v>0</v>
      </c>
      <c r="AF28" s="824">
        <v>0</v>
      </c>
      <c r="AG28" s="824">
        <v>0</v>
      </c>
      <c r="AH28" s="824">
        <v>0</v>
      </c>
      <c r="AI28" s="824">
        <v>0</v>
      </c>
    </row>
    <row r="29" spans="1:35">
      <c r="A29" s="831" t="s">
        <v>588</v>
      </c>
      <c r="B29" s="823">
        <f t="shared" si="11"/>
        <v>2250.9007768500642</v>
      </c>
      <c r="C29" s="1115"/>
      <c r="D29" s="824"/>
      <c r="E29" s="824"/>
      <c r="F29" s="824"/>
      <c r="G29" s="824"/>
      <c r="H29" s="824"/>
      <c r="I29" s="824"/>
      <c r="J29" s="824"/>
      <c r="K29" s="842"/>
      <c r="L29" s="814" t="s">
        <v>482</v>
      </c>
      <c r="M29" s="825">
        <f t="shared" si="10"/>
        <v>3630.533518160169</v>
      </c>
      <c r="N29" s="826">
        <v>1.4999999999999999E-2</v>
      </c>
      <c r="O29" s="826">
        <f>'2022 Emisja opti'!N29</f>
        <v>8.9999999999999993E-3</v>
      </c>
      <c r="Y29" s="879">
        <f t="shared" si="12"/>
        <v>3630.5335181601695</v>
      </c>
      <c r="Z29" s="814" t="str">
        <f t="shared" si="13"/>
        <v>kolektory słoneczne</v>
      </c>
      <c r="AA29" s="823">
        <f t="shared" si="14"/>
        <v>1379.6327413101051</v>
      </c>
      <c r="AB29" s="1115"/>
      <c r="AC29" s="824"/>
      <c r="AD29" s="824"/>
      <c r="AE29" s="824"/>
      <c r="AF29" s="824"/>
      <c r="AG29" s="824"/>
      <c r="AH29" s="824"/>
      <c r="AI29" s="824"/>
    </row>
    <row r="30" spans="1:35">
      <c r="A30" s="831" t="str">
        <f>L30</f>
        <v>OŹE (pompy ciepła)</v>
      </c>
      <c r="B30" s="823">
        <f t="shared" si="11"/>
        <v>4501.8015537001284</v>
      </c>
      <c r="C30" s="1116"/>
      <c r="D30" s="824"/>
      <c r="E30" s="824"/>
      <c r="F30" s="824"/>
      <c r="G30" s="824"/>
      <c r="H30" s="824"/>
      <c r="I30" s="824"/>
      <c r="J30" s="824"/>
      <c r="K30" s="842"/>
      <c r="L30" s="814" t="s">
        <v>589</v>
      </c>
      <c r="M30" s="825">
        <f t="shared" si="10"/>
        <v>7261.067036320338</v>
      </c>
      <c r="N30" s="826">
        <v>0.03</v>
      </c>
      <c r="O30" s="826">
        <f>'2022 Emisja opti'!N30</f>
        <v>0.01</v>
      </c>
      <c r="Y30" s="879">
        <f t="shared" si="12"/>
        <v>7261.067036320339</v>
      </c>
      <c r="Z30" s="814" t="str">
        <f t="shared" si="13"/>
        <v>pompy ciepła</v>
      </c>
      <c r="AA30" s="823">
        <f>M30*$D$70</f>
        <v>2759.2654826202102</v>
      </c>
      <c r="AB30" s="1116"/>
      <c r="AC30" s="824"/>
      <c r="AD30" s="824"/>
      <c r="AE30" s="824"/>
      <c r="AF30" s="824"/>
      <c r="AG30" s="824"/>
      <c r="AH30" s="824"/>
      <c r="AI30" s="824"/>
    </row>
    <row r="31" spans="1:35">
      <c r="A31" s="832" t="s">
        <v>590</v>
      </c>
      <c r="B31" s="833">
        <f>SUM(B22:B30)</f>
        <v>155374.55298471011</v>
      </c>
      <c r="C31" s="834">
        <f>C22</f>
        <v>4990.8</v>
      </c>
      <c r="D31" s="835">
        <f>SUM(D22:D30)</f>
        <v>33.942062442598484</v>
      </c>
      <c r="E31" s="835">
        <f t="shared" ref="E31:J31" si="16">SUM(E22:E30)</f>
        <v>31.25017514239298</v>
      </c>
      <c r="F31" s="835">
        <f t="shared" si="16"/>
        <v>15609.698683617822</v>
      </c>
      <c r="G31" s="836">
        <f t="shared" si="16"/>
        <v>3.0475058693344152E-2</v>
      </c>
      <c r="H31" s="835">
        <f t="shared" si="16"/>
        <v>92.764009682560626</v>
      </c>
      <c r="I31" s="835">
        <f t="shared" si="16"/>
        <v>19.191944261926242</v>
      </c>
      <c r="J31" s="835">
        <f t="shared" si="16"/>
        <v>210.97189191932881</v>
      </c>
      <c r="K31" s="842"/>
      <c r="L31" s="829"/>
      <c r="M31" s="825"/>
      <c r="N31" s="829"/>
      <c r="O31" s="829"/>
      <c r="Y31" s="879">
        <f>AA31+B31</f>
        <v>250607.45825923997</v>
      </c>
      <c r="Z31" s="832" t="s">
        <v>590</v>
      </c>
      <c r="AA31" s="833">
        <f>SUM(AA22:AA30)</f>
        <v>95232.905274529869</v>
      </c>
      <c r="AB31" s="834">
        <f>AB22</f>
        <v>0</v>
      </c>
      <c r="AC31" s="885">
        <f>SUM(AC22:AC30)</f>
        <v>4.9214000376494962</v>
      </c>
      <c r="AD31" s="885">
        <f t="shared" ref="AD31:AI31" si="17">SUM(AD22:AD30)</f>
        <v>4.4173992376353945</v>
      </c>
      <c r="AE31" s="885">
        <f t="shared" si="17"/>
        <v>793.82448024100961</v>
      </c>
      <c r="AF31" s="885">
        <f t="shared" si="17"/>
        <v>5.1148349355370536E-3</v>
      </c>
      <c r="AG31" s="885">
        <f t="shared" si="17"/>
        <v>28.356478393549978</v>
      </c>
      <c r="AH31" s="885">
        <f t="shared" si="17"/>
        <v>11.763217173084561</v>
      </c>
      <c r="AI31" s="885">
        <f t="shared" si="17"/>
        <v>0.84838348995675716</v>
      </c>
    </row>
    <row r="32" spans="1:35">
      <c r="B32" s="837"/>
      <c r="D32" s="838"/>
      <c r="E32" s="838"/>
      <c r="G32" s="838"/>
      <c r="H32" s="838"/>
      <c r="I32" s="838"/>
      <c r="J32" s="838"/>
      <c r="K32" s="842"/>
      <c r="L32" s="829" t="s">
        <v>297</v>
      </c>
      <c r="M32" s="839">
        <f>OPTI!R31</f>
        <v>242035.56787734461</v>
      </c>
      <c r="N32" s="840">
        <f>SUM(N22:N31)</f>
        <v>1</v>
      </c>
      <c r="O32" s="841">
        <f>SUM(O22:O31)</f>
        <v>1</v>
      </c>
      <c r="AA32" s="837"/>
    </row>
    <row r="33" spans="1:35" ht="9.75" customHeight="1">
      <c r="A33" s="1124"/>
      <c r="B33" s="1124"/>
      <c r="C33" s="1124"/>
      <c r="D33" s="1124"/>
      <c r="E33" s="1124"/>
      <c r="F33" s="1124"/>
      <c r="G33" s="1124"/>
      <c r="H33" s="1124"/>
      <c r="I33" s="1124"/>
      <c r="J33" s="1124"/>
      <c r="K33" s="1124"/>
      <c r="L33" s="1124"/>
      <c r="M33" s="1124"/>
      <c r="N33" s="1124"/>
      <c r="O33" s="1124"/>
    </row>
    <row r="34" spans="1:35" ht="15">
      <c r="A34" s="1117" t="s">
        <v>325</v>
      </c>
      <c r="B34" s="1117"/>
      <c r="C34" s="1117"/>
      <c r="D34" s="1117"/>
      <c r="E34" s="1117"/>
      <c r="F34" s="1117"/>
      <c r="G34" s="1117"/>
      <c r="H34" s="1117"/>
      <c r="I34" s="1117"/>
      <c r="J34" s="1117"/>
      <c r="K34" s="842"/>
      <c r="Z34" s="1117" t="s">
        <v>325</v>
      </c>
      <c r="AA34" s="1117"/>
      <c r="AB34" s="1117"/>
      <c r="AC34" s="1117"/>
      <c r="AD34" s="1117"/>
      <c r="AE34" s="1117"/>
      <c r="AF34" s="1117"/>
      <c r="AG34" s="1117"/>
      <c r="AH34" s="1117"/>
      <c r="AI34" s="1117"/>
    </row>
    <row r="35" spans="1:35">
      <c r="A35" s="1118" t="s">
        <v>582</v>
      </c>
      <c r="B35" s="1118"/>
      <c r="C35" s="1118"/>
      <c r="D35" s="1119" t="s">
        <v>583</v>
      </c>
      <c r="E35" s="1119"/>
      <c r="F35" s="1119"/>
      <c r="G35" s="1119"/>
      <c r="H35" s="1119"/>
      <c r="I35" s="1119"/>
      <c r="J35" s="1119"/>
      <c r="K35" s="842"/>
      <c r="Z35" s="1118" t="s">
        <v>582</v>
      </c>
      <c r="AA35" s="1118"/>
      <c r="AB35" s="1118"/>
      <c r="AC35" s="1119" t="s">
        <v>583</v>
      </c>
      <c r="AD35" s="1119"/>
      <c r="AE35" s="1119"/>
      <c r="AF35" s="1119"/>
      <c r="AG35" s="1119"/>
      <c r="AH35" s="1119"/>
      <c r="AI35" s="1119"/>
    </row>
    <row r="36" spans="1:35" s="816" customFormat="1" ht="46.5" customHeight="1">
      <c r="A36" s="1120" t="s">
        <v>516</v>
      </c>
      <c r="B36" s="1122" t="s">
        <v>591</v>
      </c>
      <c r="C36" s="1120" t="s">
        <v>594</v>
      </c>
      <c r="D36" s="1119"/>
      <c r="E36" s="1119"/>
      <c r="F36" s="1119"/>
      <c r="G36" s="1119"/>
      <c r="H36" s="1119"/>
      <c r="I36" s="1119"/>
      <c r="J36" s="1119"/>
      <c r="K36" s="843"/>
      <c r="L36" s="1125" t="s">
        <v>592</v>
      </c>
      <c r="M36" s="1125"/>
      <c r="N36" s="1125"/>
      <c r="O36" s="817" t="s">
        <v>593</v>
      </c>
      <c r="P36" s="818"/>
      <c r="Q36" s="845" t="s">
        <v>25</v>
      </c>
      <c r="R36" s="1130" t="s">
        <v>583</v>
      </c>
      <c r="S36" s="1130"/>
      <c r="T36" s="1130"/>
      <c r="U36" s="1130"/>
      <c r="V36" s="1130"/>
      <c r="W36" s="1130"/>
      <c r="X36" s="1130"/>
      <c r="Z36" s="1120" t="s">
        <v>516</v>
      </c>
      <c r="AA36" s="1122" t="s">
        <v>591</v>
      </c>
      <c r="AB36" s="1120" t="s">
        <v>594</v>
      </c>
      <c r="AC36" s="1119"/>
      <c r="AD36" s="1119"/>
      <c r="AE36" s="1119"/>
      <c r="AF36" s="1119"/>
      <c r="AG36" s="1119"/>
      <c r="AH36" s="1119"/>
      <c r="AI36" s="1119"/>
    </row>
    <row r="37" spans="1:35" s="816" customFormat="1" ht="14.25" customHeight="1">
      <c r="A37" s="1121"/>
      <c r="B37" s="1122"/>
      <c r="C37" s="1121"/>
      <c r="D37" s="819" t="s">
        <v>560</v>
      </c>
      <c r="E37" s="819" t="s">
        <v>561</v>
      </c>
      <c r="F37" s="819" t="s">
        <v>584</v>
      </c>
      <c r="G37" s="819" t="s">
        <v>461</v>
      </c>
      <c r="H37" s="819" t="s">
        <v>569</v>
      </c>
      <c r="I37" s="820" t="s">
        <v>571</v>
      </c>
      <c r="J37" s="819" t="s">
        <v>363</v>
      </c>
      <c r="K37" s="843"/>
      <c r="L37" s="822" t="s">
        <v>585</v>
      </c>
      <c r="M37" s="822" t="s">
        <v>586</v>
      </c>
      <c r="N37" s="822">
        <v>2020</v>
      </c>
      <c r="O37" s="821">
        <v>2016</v>
      </c>
      <c r="Q37" s="845"/>
      <c r="R37" s="845" t="s">
        <v>560</v>
      </c>
      <c r="S37" s="845" t="s">
        <v>561</v>
      </c>
      <c r="T37" s="845" t="s">
        <v>599</v>
      </c>
      <c r="U37" s="845" t="s">
        <v>600</v>
      </c>
      <c r="V37" s="845" t="s">
        <v>601</v>
      </c>
      <c r="W37" s="845" t="s">
        <v>602</v>
      </c>
      <c r="X37" s="845" t="s">
        <v>363</v>
      </c>
      <c r="Z37" s="1121"/>
      <c r="AA37" s="1122"/>
      <c r="AB37" s="1121"/>
      <c r="AC37" s="819" t="s">
        <v>560</v>
      </c>
      <c r="AD37" s="819" t="s">
        <v>561</v>
      </c>
      <c r="AE37" s="819" t="s">
        <v>584</v>
      </c>
      <c r="AF37" s="819" t="s">
        <v>461</v>
      </c>
      <c r="AG37" s="819" t="s">
        <v>569</v>
      </c>
      <c r="AH37" s="820" t="s">
        <v>571</v>
      </c>
      <c r="AI37" s="819" t="s">
        <v>363</v>
      </c>
    </row>
    <row r="38" spans="1:35" ht="15" customHeight="1">
      <c r="A38" s="814" t="s">
        <v>479</v>
      </c>
      <c r="B38" s="823">
        <f>M38-M38*$D$71</f>
        <v>203.25255497935959</v>
      </c>
      <c r="C38" s="1114">
        <f>'2022 Emisja opti'!C38:C46</f>
        <v>246.49999999999997</v>
      </c>
      <c r="D38" s="824">
        <f>$B$38*Wskazniki!B37</f>
        <v>4.5731824870355903E-2</v>
      </c>
      <c r="E38" s="824">
        <f>$B$38*Wskazniki!C37</f>
        <v>4.0853763550851276E-2</v>
      </c>
      <c r="F38" s="824">
        <f>$B$38*Wskazniki!D37</f>
        <v>19.052894503765167</v>
      </c>
      <c r="G38" s="824">
        <f>$B$38*Wskazniki!E37</f>
        <v>5.487818984442709E-5</v>
      </c>
      <c r="H38" s="824">
        <f>$B$38*Wskazniki!F37</f>
        <v>0.18292729948142361</v>
      </c>
      <c r="I38" s="824">
        <f>$B$38*Wskazniki!G37</f>
        <v>3.2113903686738811E-2</v>
      </c>
      <c r="J38" s="824">
        <f>$B$38*Wskazniki!H37</f>
        <v>0.40886745525575235</v>
      </c>
      <c r="K38" s="842"/>
      <c r="L38" s="814" t="s">
        <v>479</v>
      </c>
      <c r="M38" s="825">
        <f>N38*$M$48</f>
        <v>354.004108086793</v>
      </c>
      <c r="N38" s="826">
        <f>100%-N39-N40-N41-N42-N43-N44-N45-N46-N47</f>
        <v>4.0000000000000042E-2</v>
      </c>
      <c r="O38" s="826">
        <f>'2022 Emisja opti'!N38</f>
        <v>0.15</v>
      </c>
      <c r="Q38" s="850">
        <v>2016</v>
      </c>
      <c r="R38" s="846">
        <f>'[1]Łączna emisja'!C12</f>
        <v>75.606774481928852</v>
      </c>
      <c r="S38" s="846">
        <f>'[1]Łączna emisja'!D12</f>
        <v>69.200757745609508</v>
      </c>
      <c r="T38" s="846">
        <f>'[1]Łączna emisja'!E12</f>
        <v>39083.386234701582</v>
      </c>
      <c r="U38" s="846">
        <f>'[1]Łączna emisja'!F12</f>
        <v>7.2299904056553649E-2</v>
      </c>
      <c r="V38" s="846">
        <f>'[1]Łączna emisja'!G12</f>
        <v>228.29864416814203</v>
      </c>
      <c r="W38" s="846">
        <f>'[1]Łączna emisja'!H12</f>
        <v>47.823747202444515</v>
      </c>
      <c r="X38" s="846">
        <f>'[1]Łączna emisja'!I12</f>
        <v>512.15341494545373</v>
      </c>
      <c r="Y38" s="879">
        <f>AA38+B38</f>
        <v>354.004108086793</v>
      </c>
      <c r="Z38" s="814" t="s">
        <v>479</v>
      </c>
      <c r="AA38" s="823">
        <f>M38*$D$71</f>
        <v>150.75155310743341</v>
      </c>
      <c r="AB38" s="1114">
        <f>'2022 Emisja opti'!T38:T46</f>
        <v>0</v>
      </c>
      <c r="AC38" s="884">
        <f>$AA$38*Wskazniki!K37</f>
        <v>1.1758621142379806E-2</v>
      </c>
      <c r="AD38" s="884">
        <f>$AA$38*Wskazniki!L37</f>
        <v>1.0552608717520338E-2</v>
      </c>
      <c r="AE38" s="884">
        <f>$AA$38*Wskazniki!M37</f>
        <v>1.4131450588290807E-2</v>
      </c>
      <c r="AF38" s="884">
        <f>$AA$38*Wskazniki!N37</f>
        <v>1.190937269548724E-5</v>
      </c>
      <c r="AG38" s="884">
        <f>$AA$38*Wskazniki!O37</f>
        <v>6.7838198898345026E-2</v>
      </c>
      <c r="AH38" s="884">
        <f>$AA$38*Wskazniki!P37</f>
        <v>2.3818745390974477E-2</v>
      </c>
      <c r="AI38" s="884">
        <f>$AA$38*Wskazniki!Q37</f>
        <v>0</v>
      </c>
    </row>
    <row r="39" spans="1:35">
      <c r="A39" s="814" t="s">
        <v>480</v>
      </c>
      <c r="B39" s="823">
        <f t="shared" ref="B39:B46" si="18">M39-M39*$D$71</f>
        <v>4827.2481807597851</v>
      </c>
      <c r="C39" s="1115"/>
      <c r="D39" s="824">
        <f>Wskazniki!B38*'2032 Emisja opti'!$B$39</f>
        <v>0</v>
      </c>
      <c r="E39" s="824">
        <f>Wskazniki!C38*'2032 Emisja opti'!$B$39</f>
        <v>0</v>
      </c>
      <c r="F39" s="824">
        <f>Wskazniki!D38*'2032 Emisja opti'!$B$39</f>
        <v>0</v>
      </c>
      <c r="G39" s="824">
        <f>Wskazniki!E38*'2032 Emisja opti'!$B$39</f>
        <v>0</v>
      </c>
      <c r="H39" s="824">
        <f>Wskazniki!F38*'2032 Emisja opti'!$B$39</f>
        <v>0</v>
      </c>
      <c r="I39" s="824">
        <f>Wskazniki!G38*'2032 Emisja opti'!$B$39</f>
        <v>0</v>
      </c>
      <c r="J39" s="824">
        <f>Wskazniki!H38*'2032 Emisja opti'!$B$39</f>
        <v>0</v>
      </c>
      <c r="K39" s="842"/>
      <c r="L39" s="814" t="str">
        <f>A39</f>
        <v>sieć ciepłownicza</v>
      </c>
      <c r="M39" s="825">
        <f t="shared" ref="M39:M47" si="19">N39*$M$48</f>
        <v>8407.5975670613243</v>
      </c>
      <c r="N39" s="826">
        <v>0.95</v>
      </c>
      <c r="O39" s="826">
        <f>'2022 Emisja opti'!N39</f>
        <v>0.79999999999999993</v>
      </c>
      <c r="Q39" s="850">
        <v>2022</v>
      </c>
      <c r="R39" s="969">
        <f>'2022 Emisja opti'!D15+'2022 Emisja opti'!D31+'2022 Emisja opti'!D47+'2022 Emisja opti'!D63+'2022 Emisja opti'!U64</f>
        <v>66.794767662435873</v>
      </c>
      <c r="S39" s="969">
        <f>'2022 Emisja opti'!E15+'2022 Emisja opti'!E31+'2022 Emisja opti'!E47+'2022 Emisja opti'!E63+'2022 Emisja opti'!V64</f>
        <v>61.196667277324025</v>
      </c>
      <c r="T39" s="1018">
        <f>('2022 Emisja opti'!F15+'2022 Emisja opti'!F31+'2022 Emisja opti'!F47+'2022 Emisja opti'!F63+'2022 Emisja opti'!W64)*0.85</f>
        <v>38327.546100716856</v>
      </c>
      <c r="U39" s="969">
        <f>'2022 Emisja opti'!G15+'2022 Emisja opti'!G31+'2022 Emisja opti'!G47+'2022 Emisja opti'!G63+'2022 Emisja opti'!X64</f>
        <v>6.3087111366481152E-2</v>
      </c>
      <c r="V39" s="969">
        <f>'2022 Emisja opti'!H15+'2022 Emisja opti'!H31+'2022 Emisja opti'!H47+'2022 Emisja opti'!H63+'2022 Emisja opti'!Y64</f>
        <v>202.58177973560055</v>
      </c>
      <c r="W39" s="969">
        <f>'2022 Emisja opti'!I15+'2022 Emisja opti'!I31+'2022 Emisja opti'!I47+'2022 Emisja opti'!I63+'2022 Emisja opti'!Z64</f>
        <v>44.049383592665009</v>
      </c>
      <c r="X39" s="969">
        <f>'2022 Emisja opti'!J15+'2022 Emisja opti'!J31+'2022 Emisja opti'!J47+'2022 Emisja opti'!J63+'2022 Emisja opti'!AA64</f>
        <v>424.64988440325476</v>
      </c>
      <c r="Y39" s="879">
        <f t="shared" ref="Y39:Y46" si="20">AA39+B39</f>
        <v>8407.5975670613243</v>
      </c>
      <c r="Z39" s="814" t="s">
        <v>480</v>
      </c>
      <c r="AA39" s="823">
        <f t="shared" ref="AA39:AA46" si="21">M39*$D$71</f>
        <v>3580.3493863015392</v>
      </c>
      <c r="AB39" s="1115"/>
      <c r="AC39" s="824">
        <f>Wskazniki!AA38*'2032 Emisja opti'!$B$39</f>
        <v>0</v>
      </c>
      <c r="AD39" s="824">
        <f>Wskazniki!AB38*'2032 Emisja opti'!$B$39</f>
        <v>0</v>
      </c>
      <c r="AE39" s="824">
        <f>Wskazniki!AC38*'2032 Emisja opti'!$B$39</f>
        <v>0</v>
      </c>
      <c r="AF39" s="824">
        <f>Wskazniki!AD38*'2032 Emisja opti'!$B$39</f>
        <v>0</v>
      </c>
      <c r="AG39" s="824">
        <f>Wskazniki!AE38*'2032 Emisja opti'!$B$39</f>
        <v>0</v>
      </c>
      <c r="AH39" s="824">
        <f>Wskazniki!AF38*'2032 Emisja opti'!$B$39</f>
        <v>0</v>
      </c>
      <c r="AI39" s="824">
        <f>Wskazniki!AG38*'2032 Emisja opti'!$B$39</f>
        <v>0</v>
      </c>
    </row>
    <row r="40" spans="1:35" ht="15" customHeight="1">
      <c r="A40" s="814" t="s">
        <v>331</v>
      </c>
      <c r="B40" s="966">
        <f t="shared" si="18"/>
        <v>0</v>
      </c>
      <c r="C40" s="1115"/>
      <c r="D40" s="824">
        <f>$B$40*Wskazniki!B39</f>
        <v>0</v>
      </c>
      <c r="E40" s="824">
        <f>$B$40*Wskazniki!C39</f>
        <v>0</v>
      </c>
      <c r="F40" s="824">
        <f>$B$40*Wskazniki!D39</f>
        <v>0</v>
      </c>
      <c r="G40" s="824">
        <f>$B$40*Wskazniki!E39</f>
        <v>0</v>
      </c>
      <c r="H40" s="824">
        <f>$B$40*Wskazniki!F39</f>
        <v>0</v>
      </c>
      <c r="I40" s="824">
        <f>$B$40*Wskazniki!G39</f>
        <v>0</v>
      </c>
      <c r="J40" s="824">
        <f>$B$40*Wskazniki!H39</f>
        <v>0</v>
      </c>
      <c r="K40" s="842"/>
      <c r="L40" s="814" t="s">
        <v>331</v>
      </c>
      <c r="M40" s="967">
        <f>N40*$M$48*1.3</f>
        <v>0</v>
      </c>
      <c r="N40" s="826">
        <v>0</v>
      </c>
      <c r="O40" s="826">
        <f>'2022 Emisja opti'!N40</f>
        <v>0</v>
      </c>
      <c r="Q40" s="851" t="s">
        <v>485</v>
      </c>
      <c r="R40" s="974">
        <f>-(R38-R39)/R38</f>
        <v>-0.1165504927286533</v>
      </c>
      <c r="S40" s="974">
        <f t="shared" ref="S40:X40" si="22">-(S38-S39)/S38</f>
        <v>-0.11566478069083438</v>
      </c>
      <c r="T40" s="974">
        <f t="shared" si="22"/>
        <v>-1.9339167017048953E-2</v>
      </c>
      <c r="U40" s="974">
        <f t="shared" si="22"/>
        <v>-0.12742468762982265</v>
      </c>
      <c r="V40" s="974">
        <f t="shared" si="22"/>
        <v>-0.11264571686900166</v>
      </c>
      <c r="W40" s="974">
        <f t="shared" si="22"/>
        <v>-7.8922372891486417E-2</v>
      </c>
      <c r="X40" s="974">
        <f t="shared" si="22"/>
        <v>-0.17085413860125961</v>
      </c>
      <c r="Y40" s="879">
        <f t="shared" si="20"/>
        <v>0</v>
      </c>
      <c r="Z40" s="814" t="s">
        <v>331</v>
      </c>
      <c r="AA40" s="823">
        <f t="shared" si="21"/>
        <v>0</v>
      </c>
      <c r="AB40" s="1115"/>
      <c r="AC40" s="824">
        <f>$AA$40*Wskazniki!B39</f>
        <v>0</v>
      </c>
      <c r="AD40" s="824">
        <f>$AA$40*Wskazniki!C39</f>
        <v>0</v>
      </c>
      <c r="AE40" s="824">
        <f>$AA$40*Wskazniki!D39</f>
        <v>0</v>
      </c>
      <c r="AF40" s="824">
        <f>$AA$40*Wskazniki!E39</f>
        <v>0</v>
      </c>
      <c r="AG40" s="824">
        <f>$AA$40*Wskazniki!F39</f>
        <v>0</v>
      </c>
      <c r="AH40" s="824">
        <f>$AA$40*Wskazniki!G39</f>
        <v>0</v>
      </c>
      <c r="AI40" s="824">
        <f>$AA$40*Wskazniki!H39</f>
        <v>0</v>
      </c>
    </row>
    <row r="41" spans="1:35">
      <c r="A41" s="814" t="s">
        <v>335</v>
      </c>
      <c r="B41" s="823">
        <f t="shared" si="18"/>
        <v>0</v>
      </c>
      <c r="C41" s="1115"/>
      <c r="D41" s="824">
        <f>$B$41*Wskazniki!B40</f>
        <v>0</v>
      </c>
      <c r="E41" s="824">
        <f>$B$41*Wskazniki!C40</f>
        <v>0</v>
      </c>
      <c r="F41" s="824">
        <f>$B$41*Wskazniki!D40</f>
        <v>0</v>
      </c>
      <c r="G41" s="824">
        <f>$B$41*Wskazniki!E40</f>
        <v>0</v>
      </c>
      <c r="H41" s="824">
        <f>$B$41*Wskazniki!F40</f>
        <v>0</v>
      </c>
      <c r="I41" s="824">
        <f>$B$41*Wskazniki!G40</f>
        <v>0</v>
      </c>
      <c r="J41" s="824">
        <f>$B$41*Wskazniki!H40</f>
        <v>0</v>
      </c>
      <c r="K41" s="842"/>
      <c r="L41" s="814" t="s">
        <v>335</v>
      </c>
      <c r="M41" s="825">
        <f t="shared" si="19"/>
        <v>0</v>
      </c>
      <c r="N41" s="826">
        <f t="shared" ref="N41:N46" si="23">O41</f>
        <v>0</v>
      </c>
      <c r="O41" s="826">
        <f>'2022 Emisja opti'!N41</f>
        <v>0</v>
      </c>
      <c r="Q41" s="850">
        <v>2032</v>
      </c>
      <c r="R41" s="846">
        <f>D64+AC64</f>
        <v>48.771262879660107</v>
      </c>
      <c r="S41" s="846">
        <f t="shared" ref="S41:X41" si="24">E64+AD64</f>
        <v>44.733643904540777</v>
      </c>
      <c r="T41" s="846">
        <f>F64+AE64</f>
        <v>36125.692989757466</v>
      </c>
      <c r="U41" s="846">
        <f t="shared" si="24"/>
        <v>4.4922203146134224E-2</v>
      </c>
      <c r="V41" s="846">
        <f t="shared" si="24"/>
        <v>153.9689063929128</v>
      </c>
      <c r="W41" s="846">
        <f t="shared" si="24"/>
        <v>39.663502054695627</v>
      </c>
      <c r="X41" s="846">
        <f t="shared" si="24"/>
        <v>265.72402565879986</v>
      </c>
      <c r="Y41" s="879">
        <f t="shared" si="20"/>
        <v>0</v>
      </c>
      <c r="Z41" s="814" t="s">
        <v>335</v>
      </c>
      <c r="AA41" s="823">
        <f t="shared" si="21"/>
        <v>0</v>
      </c>
      <c r="AB41" s="1115"/>
      <c r="AC41" s="884">
        <f>$AA$41*Wskazniki!K40</f>
        <v>0</v>
      </c>
      <c r="AD41" s="884">
        <f>$AA$41*Wskazniki!L40</f>
        <v>0</v>
      </c>
      <c r="AE41" s="884">
        <f>$AA$41*Wskazniki!M40</f>
        <v>0</v>
      </c>
      <c r="AF41" s="884">
        <f>$AA$41*Wskazniki!N40</f>
        <v>0</v>
      </c>
      <c r="AG41" s="884">
        <f>$AA$41*Wskazniki!O40</f>
        <v>0</v>
      </c>
      <c r="AH41" s="884">
        <f>$AA$41*Wskazniki!P40</f>
        <v>0</v>
      </c>
      <c r="AI41" s="884">
        <f>$AA$41*Wskazniki!Q40</f>
        <v>0</v>
      </c>
    </row>
    <row r="42" spans="1:35" ht="12.75" thickBot="1">
      <c r="A42" s="814" t="s">
        <v>337</v>
      </c>
      <c r="B42" s="823">
        <f t="shared" si="18"/>
        <v>0</v>
      </c>
      <c r="C42" s="1115"/>
      <c r="D42" s="824">
        <f>$B$42*Wskazniki!B41</f>
        <v>0</v>
      </c>
      <c r="E42" s="824">
        <f>$B$42*Wskazniki!C41</f>
        <v>0</v>
      </c>
      <c r="F42" s="824">
        <f>$B$42*Wskazniki!D41</f>
        <v>0</v>
      </c>
      <c r="G42" s="824">
        <f>$B$42*Wskazniki!E41</f>
        <v>0</v>
      </c>
      <c r="H42" s="824">
        <f>$B$42*Wskazniki!F41</f>
        <v>0</v>
      </c>
      <c r="I42" s="824">
        <f>$B$42*Wskazniki!G41</f>
        <v>0</v>
      </c>
      <c r="J42" s="824">
        <f>$B$42*Wskazniki!H41</f>
        <v>0</v>
      </c>
      <c r="K42" s="842"/>
      <c r="L42" s="814" t="s">
        <v>337</v>
      </c>
      <c r="M42" s="825">
        <f t="shared" si="19"/>
        <v>0</v>
      </c>
      <c r="N42" s="826">
        <f t="shared" si="23"/>
        <v>0</v>
      </c>
      <c r="O42" s="826">
        <f>'2022 Emisja opti'!N42</f>
        <v>0</v>
      </c>
      <c r="Q42" s="852" t="s">
        <v>485</v>
      </c>
      <c r="R42" s="972">
        <f>-(R38-R41)/R38</f>
        <v>-0.35493527909569578</v>
      </c>
      <c r="S42" s="972">
        <f t="shared" ref="S42:X42" si="25">-(S38-S41)/S38</f>
        <v>-0.3535671376751805</v>
      </c>
      <c r="T42" s="972">
        <f>-(T38-T41)/T38</f>
        <v>-7.567648379244124E-2</v>
      </c>
      <c r="U42" s="972">
        <f t="shared" si="25"/>
        <v>-0.37866856488501471</v>
      </c>
      <c r="V42" s="972">
        <f t="shared" si="25"/>
        <v>-0.32558116166684442</v>
      </c>
      <c r="W42" s="972">
        <f t="shared" si="25"/>
        <v>-0.17063165529889252</v>
      </c>
      <c r="X42" s="972">
        <f t="shared" si="25"/>
        <v>-0.48116322589179561</v>
      </c>
      <c r="Y42" s="879">
        <f t="shared" si="20"/>
        <v>0</v>
      </c>
      <c r="Z42" s="814" t="s">
        <v>337</v>
      </c>
      <c r="AA42" s="823">
        <f t="shared" si="21"/>
        <v>0</v>
      </c>
      <c r="AB42" s="1115"/>
      <c r="AC42" s="884">
        <f>$AA$42*Wskazniki!K41</f>
        <v>0</v>
      </c>
      <c r="AD42" s="884">
        <f>$AA$42*Wskazniki!L41</f>
        <v>0</v>
      </c>
      <c r="AE42" s="884">
        <f>$AA$42*Wskazniki!M41</f>
        <v>0</v>
      </c>
      <c r="AF42" s="884">
        <f>$AA$42*Wskazniki!N41</f>
        <v>0</v>
      </c>
      <c r="AG42" s="884">
        <f>$AA$42*Wskazniki!O41</f>
        <v>0</v>
      </c>
      <c r="AH42" s="884">
        <f>$AA$42*Wskazniki!P41</f>
        <v>0</v>
      </c>
      <c r="AI42" s="884">
        <f>$AA$42*Wskazniki!Q41</f>
        <v>0</v>
      </c>
    </row>
    <row r="43" spans="1:35" ht="15">
      <c r="A43" s="814" t="s">
        <v>338</v>
      </c>
      <c r="B43" s="823">
        <f t="shared" si="18"/>
        <v>50.813138744839847</v>
      </c>
      <c r="C43" s="1115"/>
      <c r="D43" s="824">
        <f>$B$43*Wskazniki!B42</f>
        <v>1.5243941623451954E-4</v>
      </c>
      <c r="E43" s="824">
        <f>$B$43*Wskazniki!C42</f>
        <v>1.5243941623451954E-4</v>
      </c>
      <c r="F43" s="824">
        <f>$B$43*Wskazniki!D42</f>
        <v>3.891778296467284</v>
      </c>
      <c r="G43" s="824">
        <f>$B$43*Wskazniki!E42</f>
        <v>5.0813138744839848E-7</v>
      </c>
      <c r="H43" s="824">
        <f>$B$43*Wskazniki!F42</f>
        <v>7.1138394242775778E-3</v>
      </c>
      <c r="I43" s="824">
        <f>$B$43*Wskazniki!G42</f>
        <v>3.5569197121387889E-3</v>
      </c>
      <c r="J43" s="824">
        <f>$B$43*Wskazniki!H42</f>
        <v>8.2589409096371874E-4</v>
      </c>
      <c r="K43" s="842"/>
      <c r="L43" s="814" t="s">
        <v>587</v>
      </c>
      <c r="M43" s="825">
        <f t="shared" si="19"/>
        <v>88.501027021698164</v>
      </c>
      <c r="N43" s="826">
        <v>0.01</v>
      </c>
      <c r="O43" s="826">
        <f>'2022 Emisja opti'!N43</f>
        <v>0.05</v>
      </c>
      <c r="Q43" s="865" t="s">
        <v>603</v>
      </c>
      <c r="R43" s="865"/>
      <c r="S43" s="865"/>
      <c r="T43" s="865"/>
      <c r="U43" s="865"/>
      <c r="V43" s="865"/>
      <c r="W43" s="865"/>
      <c r="X43" s="865"/>
      <c r="Y43" s="879">
        <f t="shared" si="20"/>
        <v>88.501027021698164</v>
      </c>
      <c r="Z43" s="814" t="s">
        <v>338</v>
      </c>
      <c r="AA43" s="823">
        <f t="shared" si="21"/>
        <v>37.687888276858317</v>
      </c>
      <c r="AB43" s="1115"/>
      <c r="AC43" s="824">
        <f>$AA$43*Wskazniki!K42</f>
        <v>1.1306366483057495E-4</v>
      </c>
      <c r="AD43" s="824">
        <f>$AA$43*Wskazniki!L42</f>
        <v>1.1306366483057495E-4</v>
      </c>
      <c r="AE43" s="824">
        <f>$AA$43*Wskazniki!M42</f>
        <v>2.8865153631245786</v>
      </c>
      <c r="AF43" s="824">
        <f>$AA$43*Wskazniki!N42</f>
        <v>3.7687888276858318E-7</v>
      </c>
      <c r="AG43" s="824">
        <f>$AA$43*Wskazniki!O42</f>
        <v>5.2763043587601638E-3</v>
      </c>
      <c r="AH43" s="824">
        <f>$AA$43*Wskazniki!P42</f>
        <v>2.6381521793800819E-3</v>
      </c>
      <c r="AI43" s="824">
        <f>$AA$43*Wskazniki!Q42</f>
        <v>6.1256212463196846E-4</v>
      </c>
    </row>
    <row r="44" spans="1:35" ht="15" customHeight="1">
      <c r="A44" s="814" t="s">
        <v>531</v>
      </c>
      <c r="B44" s="823">
        <f t="shared" si="18"/>
        <v>0</v>
      </c>
      <c r="C44" s="1115"/>
      <c r="D44" s="824">
        <v>0</v>
      </c>
      <c r="E44" s="824">
        <v>0</v>
      </c>
      <c r="F44" s="960">
        <f>(C38*Wskazniki!D43)+(B44+M44)*Wskazniki!D43</f>
        <v>200.15799999999999</v>
      </c>
      <c r="G44" s="824">
        <v>0</v>
      </c>
      <c r="H44" s="824">
        <v>0</v>
      </c>
      <c r="I44" s="824">
        <v>0</v>
      </c>
      <c r="J44" s="824">
        <v>0</v>
      </c>
      <c r="K44" s="842"/>
      <c r="L44" s="814" t="s">
        <v>531</v>
      </c>
      <c r="M44" s="825">
        <f t="shared" si="19"/>
        <v>0</v>
      </c>
      <c r="N44" s="826">
        <v>0</v>
      </c>
      <c r="O44" s="826">
        <f>'2022 Emisja opti'!N44</f>
        <v>0</v>
      </c>
      <c r="Q44" s="864" t="s">
        <v>25</v>
      </c>
      <c r="R44" s="1130" t="s">
        <v>583</v>
      </c>
      <c r="S44" s="1130"/>
      <c r="T44" s="1130"/>
      <c r="U44" s="1130"/>
      <c r="V44" s="1130"/>
      <c r="W44" s="1130"/>
      <c r="X44" s="1130"/>
      <c r="Y44" s="879">
        <f t="shared" si="20"/>
        <v>0</v>
      </c>
      <c r="Z44" s="814" t="s">
        <v>531</v>
      </c>
      <c r="AA44" s="823">
        <f t="shared" si="21"/>
        <v>0</v>
      </c>
      <c r="AB44" s="1115"/>
      <c r="AC44" s="824">
        <v>0</v>
      </c>
      <c r="AD44" s="824">
        <v>0</v>
      </c>
      <c r="AE44" s="824">
        <f>(AB38*Wskazniki!AC43)</f>
        <v>0</v>
      </c>
      <c r="AF44" s="824">
        <v>0</v>
      </c>
      <c r="AG44" s="824">
        <v>0</v>
      </c>
      <c r="AH44" s="824">
        <v>0</v>
      </c>
      <c r="AI44" s="824">
        <v>0</v>
      </c>
    </row>
    <row r="45" spans="1:35" ht="14.25">
      <c r="A45" s="831" t="s">
        <v>588</v>
      </c>
      <c r="B45" s="823">
        <f t="shared" si="18"/>
        <v>0</v>
      </c>
      <c r="C45" s="1115"/>
      <c r="D45" s="824"/>
      <c r="E45" s="824"/>
      <c r="F45" s="824"/>
      <c r="G45" s="824"/>
      <c r="H45" s="824"/>
      <c r="I45" s="824"/>
      <c r="J45" s="824"/>
      <c r="K45" s="842"/>
      <c r="L45" s="814" t="s">
        <v>482</v>
      </c>
      <c r="M45" s="825">
        <f t="shared" si="19"/>
        <v>0</v>
      </c>
      <c r="N45" s="826">
        <f t="shared" si="23"/>
        <v>0</v>
      </c>
      <c r="O45" s="826">
        <f>'2022 Emisja opti'!N45</f>
        <v>0</v>
      </c>
      <c r="Q45" s="864"/>
      <c r="R45" s="864" t="s">
        <v>560</v>
      </c>
      <c r="S45" s="864" t="s">
        <v>561</v>
      </c>
      <c r="T45" s="864" t="s">
        <v>599</v>
      </c>
      <c r="U45" s="864" t="s">
        <v>600</v>
      </c>
      <c r="V45" s="864" t="s">
        <v>601</v>
      </c>
      <c r="W45" s="864" t="s">
        <v>602</v>
      </c>
      <c r="X45" s="864" t="s">
        <v>363</v>
      </c>
      <c r="Y45" s="879">
        <f t="shared" si="20"/>
        <v>0</v>
      </c>
      <c r="Z45" s="815" t="str">
        <f>Z29</f>
        <v>kolektory słoneczne</v>
      </c>
      <c r="AA45" s="823">
        <f t="shared" si="21"/>
        <v>0</v>
      </c>
      <c r="AB45" s="1115"/>
      <c r="AC45" s="824"/>
      <c r="AD45" s="824"/>
      <c r="AE45" s="824"/>
      <c r="AF45" s="824"/>
      <c r="AG45" s="824"/>
      <c r="AH45" s="824"/>
      <c r="AI45" s="824"/>
    </row>
    <row r="46" spans="1:35">
      <c r="A46" s="831" t="str">
        <f>L46</f>
        <v>OŹE (pompy ciepła)</v>
      </c>
      <c r="B46" s="823">
        <f t="shared" si="18"/>
        <v>0</v>
      </c>
      <c r="C46" s="1116"/>
      <c r="D46" s="824"/>
      <c r="E46" s="824"/>
      <c r="F46" s="824"/>
      <c r="G46" s="824"/>
      <c r="H46" s="824"/>
      <c r="I46" s="824"/>
      <c r="J46" s="824"/>
      <c r="K46" s="842"/>
      <c r="L46" s="814" t="s">
        <v>589</v>
      </c>
      <c r="M46" s="825">
        <f t="shared" si="19"/>
        <v>0</v>
      </c>
      <c r="N46" s="826">
        <f t="shared" si="23"/>
        <v>0</v>
      </c>
      <c r="O46" s="826">
        <f>'2022 Emisja opti'!N46</f>
        <v>0</v>
      </c>
      <c r="Q46" s="850">
        <v>2016</v>
      </c>
      <c r="R46" s="846">
        <f>R38</f>
        <v>75.606774481928852</v>
      </c>
      <c r="S46" s="846">
        <f t="shared" ref="S46:X46" si="26">S38</f>
        <v>69.200757745609508</v>
      </c>
      <c r="T46" s="846">
        <f t="shared" si="26"/>
        <v>39083.386234701582</v>
      </c>
      <c r="U46" s="846">
        <f t="shared" si="26"/>
        <v>7.2299904056553649E-2</v>
      </c>
      <c r="V46" s="846">
        <f t="shared" si="26"/>
        <v>228.29864416814203</v>
      </c>
      <c r="W46" s="846">
        <f t="shared" si="26"/>
        <v>47.823747202444515</v>
      </c>
      <c r="X46" s="846">
        <f t="shared" si="26"/>
        <v>512.15341494545373</v>
      </c>
      <c r="Y46" s="879">
        <f t="shared" si="20"/>
        <v>0</v>
      </c>
      <c r="Z46" s="815" t="str">
        <f>Z30</f>
        <v>pompy ciepła</v>
      </c>
      <c r="AA46" s="823">
        <f t="shared" si="21"/>
        <v>0</v>
      </c>
      <c r="AB46" s="1116"/>
      <c r="AC46" s="824"/>
      <c r="AD46" s="824"/>
      <c r="AE46" s="824"/>
      <c r="AF46" s="824"/>
      <c r="AG46" s="824"/>
      <c r="AH46" s="824"/>
      <c r="AI46" s="824"/>
    </row>
    <row r="47" spans="1:35">
      <c r="A47" s="832" t="s">
        <v>590</v>
      </c>
      <c r="B47" s="833">
        <f>SUM(B38:B46)</f>
        <v>5081.3138744839853</v>
      </c>
      <c r="C47" s="834">
        <f>C38</f>
        <v>246.49999999999997</v>
      </c>
      <c r="D47" s="835">
        <f>SUM(D38:D46)</f>
        <v>4.5884264286590419E-2</v>
      </c>
      <c r="E47" s="835">
        <f t="shared" ref="E47:J47" si="27">SUM(E38:E46)</f>
        <v>4.1006202967085792E-2</v>
      </c>
      <c r="F47" s="835">
        <f t="shared" si="27"/>
        <v>223.10267280023243</v>
      </c>
      <c r="G47" s="836">
        <f t="shared" si="27"/>
        <v>5.5386321231875486E-5</v>
      </c>
      <c r="H47" s="835">
        <f t="shared" si="27"/>
        <v>0.19004113890570118</v>
      </c>
      <c r="I47" s="835">
        <f t="shared" si="27"/>
        <v>3.5670823398877602E-2</v>
      </c>
      <c r="J47" s="835">
        <f t="shared" si="27"/>
        <v>0.40969334934671608</v>
      </c>
      <c r="K47" s="842"/>
      <c r="L47" s="829"/>
      <c r="M47" s="825">
        <f t="shared" si="19"/>
        <v>0</v>
      </c>
      <c r="N47" s="829"/>
      <c r="O47" s="829"/>
      <c r="Q47" s="850">
        <v>2022</v>
      </c>
      <c r="R47" s="846">
        <f>'2022 Emisja opti'!D23+'2022 Emisja opti'!D39+'2022 Emisja opti'!D55+'2022 Emisja opti'!D71</f>
        <v>0.25975535275867989</v>
      </c>
      <c r="S47" s="846">
        <f>'2022 Emisja opti'!E23+'2022 Emisja opti'!E39+'2022 Emisja opti'!E55+'2022 Emisja opti'!E71</f>
        <v>0.35694853145300098</v>
      </c>
      <c r="T47" s="846">
        <f>'2022 Emisja opti'!F23+'2022 Emisja opti'!F39+'2022 Emisja opti'!F55+'2022 Emisja opti'!F71</f>
        <v>0</v>
      </c>
      <c r="U47" s="846">
        <f>'2022 Emisja opti'!G23+'2022 Emisja opti'!G39+'2022 Emisja opti'!G55+'2022 Emisja opti'!G71</f>
        <v>0</v>
      </c>
      <c r="V47" s="846">
        <f>'2022 Emisja opti'!H23+'2022 Emisja opti'!H39+'2022 Emisja opti'!H55+'2022 Emisja opti'!H71</f>
        <v>0</v>
      </c>
      <c r="W47" s="846">
        <f>'2022 Emisja opti'!I23+'2022 Emisja opti'!I39+'2022 Emisja opti'!I55+'2022 Emisja opti'!I71</f>
        <v>0</v>
      </c>
      <c r="X47" s="846">
        <f>'2022 Emisja opti'!J23+'2022 Emisja opti'!J39+'2022 Emisja opti'!J55+'2022 Emisja opti'!J71</f>
        <v>0</v>
      </c>
      <c r="Y47" s="879">
        <f>AA47+B47</f>
        <v>8850.1027021698155</v>
      </c>
      <c r="Z47" s="832" t="s">
        <v>590</v>
      </c>
      <c r="AA47" s="833">
        <f>SUM(AA38:AA46)</f>
        <v>3768.7888276858307</v>
      </c>
      <c r="AB47" s="834">
        <f>AB38</f>
        <v>0</v>
      </c>
      <c r="AC47" s="885">
        <f>AC38+AC41+AC42</f>
        <v>1.1758621142379806E-2</v>
      </c>
      <c r="AD47" s="885">
        <f t="shared" ref="AD47:AI47" si="28">AD38+AD41+AD42</f>
        <v>1.0552608717520338E-2</v>
      </c>
      <c r="AE47" s="885">
        <f>AE38+AE41+AE42</f>
        <v>1.4131450588290807E-2</v>
      </c>
      <c r="AF47" s="885">
        <f t="shared" si="28"/>
        <v>1.190937269548724E-5</v>
      </c>
      <c r="AG47" s="885">
        <f t="shared" si="28"/>
        <v>6.7838198898345026E-2</v>
      </c>
      <c r="AH47" s="885">
        <f t="shared" si="28"/>
        <v>2.3818745390974477E-2</v>
      </c>
      <c r="AI47" s="885">
        <f t="shared" si="28"/>
        <v>0</v>
      </c>
    </row>
    <row r="48" spans="1:35">
      <c r="B48" s="837"/>
      <c r="D48" s="838"/>
      <c r="E48" s="838"/>
      <c r="G48" s="838"/>
      <c r="H48" s="838"/>
      <c r="I48" s="838"/>
      <c r="J48" s="838"/>
      <c r="K48" s="842"/>
      <c r="L48" s="829" t="s">
        <v>297</v>
      </c>
      <c r="M48" s="839">
        <f>OPTI!R37</f>
        <v>8850.1027021698155</v>
      </c>
      <c r="N48" s="840">
        <f>SUM(N38:N47)</f>
        <v>1</v>
      </c>
      <c r="O48" s="841">
        <f>SUM(O38:O47)</f>
        <v>1</v>
      </c>
      <c r="Q48" s="851" t="s">
        <v>485</v>
      </c>
      <c r="R48" s="849">
        <v>-0.77885188502203462</v>
      </c>
      <c r="S48" s="849">
        <v>-0.77530651011693041</v>
      </c>
      <c r="T48" s="849">
        <v>0.28703428955621973</v>
      </c>
      <c r="U48" s="849">
        <v>-0.8227929259173612</v>
      </c>
      <c r="V48" s="849">
        <v>-0.77005559254863942</v>
      </c>
      <c r="W48" s="849">
        <v>-0.46620952351121497</v>
      </c>
      <c r="X48" s="849">
        <v>-0.83361507209326513</v>
      </c>
      <c r="AA48" s="837"/>
    </row>
    <row r="49" spans="1:35" ht="12.75" customHeight="1">
      <c r="A49" s="1124"/>
      <c r="B49" s="1124"/>
      <c r="C49" s="1124"/>
      <c r="D49" s="1124"/>
      <c r="E49" s="1124"/>
      <c r="F49" s="1124"/>
      <c r="G49" s="1124"/>
      <c r="H49" s="1124"/>
      <c r="I49" s="1124"/>
      <c r="J49" s="1124"/>
      <c r="K49" s="1124"/>
      <c r="L49" s="1124"/>
      <c r="M49" s="1124"/>
      <c r="N49" s="1124"/>
      <c r="O49" s="1124"/>
      <c r="Q49" s="850">
        <v>2032</v>
      </c>
      <c r="R49" s="886">
        <f>D64+AC64</f>
        <v>48.771262879660107</v>
      </c>
      <c r="S49" s="886">
        <f t="shared" ref="S49:X49" si="29">E64+AD64</f>
        <v>44.733643904540777</v>
      </c>
      <c r="T49" s="886">
        <f t="shared" si="29"/>
        <v>36125.692989757466</v>
      </c>
      <c r="U49" s="886">
        <f t="shared" si="29"/>
        <v>4.4922203146134224E-2</v>
      </c>
      <c r="V49" s="886">
        <f t="shared" si="29"/>
        <v>153.9689063929128</v>
      </c>
      <c r="W49" s="886">
        <f t="shared" si="29"/>
        <v>39.663502054695627</v>
      </c>
      <c r="X49" s="886">
        <f t="shared" si="29"/>
        <v>265.72402565879986</v>
      </c>
    </row>
    <row r="50" spans="1:35" ht="15">
      <c r="A50" s="1117" t="s">
        <v>326</v>
      </c>
      <c r="B50" s="1117"/>
      <c r="C50" s="1117"/>
      <c r="D50" s="1117"/>
      <c r="E50" s="1117"/>
      <c r="F50" s="1117"/>
      <c r="G50" s="1117"/>
      <c r="H50" s="1117"/>
      <c r="I50" s="1117"/>
      <c r="J50" s="1117"/>
      <c r="K50" s="842"/>
      <c r="Q50" s="852" t="s">
        <v>485</v>
      </c>
      <c r="R50" s="849">
        <v>-1.1188478352757001E-2</v>
      </c>
      <c r="S50" s="849">
        <v>-1.1188478352756994E-2</v>
      </c>
      <c r="T50" s="849">
        <v>-1.1188478352756994E-2</v>
      </c>
      <c r="U50" s="849">
        <v>-1.1188478352756994E-2</v>
      </c>
      <c r="V50" s="849">
        <v>-1.1188478352756994E-2</v>
      </c>
      <c r="W50" s="849">
        <v>-1.1188478352756994E-2</v>
      </c>
      <c r="X50" s="849">
        <v>-1.1188478352756994E-2</v>
      </c>
      <c r="Z50" s="1117" t="s">
        <v>326</v>
      </c>
      <c r="AA50" s="1117"/>
      <c r="AB50" s="1117"/>
      <c r="AC50" s="1117"/>
      <c r="AD50" s="1117"/>
      <c r="AE50" s="1117"/>
      <c r="AF50" s="1117"/>
      <c r="AG50" s="1117"/>
      <c r="AH50" s="1117"/>
      <c r="AI50" s="1117"/>
    </row>
    <row r="51" spans="1:35">
      <c r="A51" s="1118" t="s">
        <v>582</v>
      </c>
      <c r="B51" s="1118"/>
      <c r="C51" s="1118"/>
      <c r="D51" s="1119" t="s">
        <v>583</v>
      </c>
      <c r="E51" s="1119"/>
      <c r="F51" s="1119"/>
      <c r="G51" s="1119"/>
      <c r="H51" s="1119"/>
      <c r="I51" s="1119"/>
      <c r="J51" s="1119"/>
      <c r="K51" s="842"/>
      <c r="Z51" s="1118" t="s">
        <v>582</v>
      </c>
      <c r="AA51" s="1118"/>
      <c r="AB51" s="1118"/>
      <c r="AC51" s="1119" t="s">
        <v>583</v>
      </c>
      <c r="AD51" s="1119"/>
      <c r="AE51" s="1119"/>
      <c r="AF51" s="1119"/>
      <c r="AG51" s="1119"/>
      <c r="AH51" s="1119"/>
      <c r="AI51" s="1119"/>
    </row>
    <row r="52" spans="1:35" s="816" customFormat="1" ht="46.5" customHeight="1">
      <c r="A52" s="1120" t="s">
        <v>516</v>
      </c>
      <c r="B52" s="1122" t="s">
        <v>591</v>
      </c>
      <c r="C52" s="1120" t="s">
        <v>594</v>
      </c>
      <c r="D52" s="1119"/>
      <c r="E52" s="1119"/>
      <c r="F52" s="1119"/>
      <c r="G52" s="1119"/>
      <c r="H52" s="1119"/>
      <c r="I52" s="1119"/>
      <c r="J52" s="1119"/>
      <c r="K52" s="843"/>
      <c r="L52" s="1125" t="s">
        <v>592</v>
      </c>
      <c r="M52" s="1125"/>
      <c r="N52" s="1125"/>
      <c r="O52" s="817" t="s">
        <v>593</v>
      </c>
      <c r="P52" s="818"/>
      <c r="R52" s="917">
        <f>R46</f>
        <v>75.606774481928852</v>
      </c>
      <c r="S52" s="917">
        <f t="shared" ref="S52:X52" si="30">S46</f>
        <v>69.200757745609508</v>
      </c>
      <c r="T52" s="917">
        <f>T46/100</f>
        <v>390.83386234701584</v>
      </c>
      <c r="U52" s="917">
        <f t="shared" si="30"/>
        <v>7.2299904056553649E-2</v>
      </c>
      <c r="V52" s="917">
        <f t="shared" si="30"/>
        <v>228.29864416814203</v>
      </c>
      <c r="W52" s="917">
        <f t="shared" si="30"/>
        <v>47.823747202444515</v>
      </c>
      <c r="X52" s="917">
        <f t="shared" si="30"/>
        <v>512.15341494545373</v>
      </c>
      <c r="Z52" s="1120" t="s">
        <v>516</v>
      </c>
      <c r="AA52" s="1122" t="s">
        <v>591</v>
      </c>
      <c r="AB52" s="1120" t="s">
        <v>594</v>
      </c>
      <c r="AC52" s="1119"/>
      <c r="AD52" s="1119"/>
      <c r="AE52" s="1119"/>
      <c r="AF52" s="1119"/>
      <c r="AG52" s="1119"/>
      <c r="AH52" s="1119"/>
      <c r="AI52" s="1119"/>
    </row>
    <row r="53" spans="1:35" s="816" customFormat="1" ht="14.25" customHeight="1">
      <c r="A53" s="1121"/>
      <c r="B53" s="1122"/>
      <c r="C53" s="1121"/>
      <c r="D53" s="819" t="s">
        <v>560</v>
      </c>
      <c r="E53" s="819" t="s">
        <v>561</v>
      </c>
      <c r="F53" s="819" t="s">
        <v>584</v>
      </c>
      <c r="G53" s="819" t="s">
        <v>461</v>
      </c>
      <c r="H53" s="819" t="s">
        <v>569</v>
      </c>
      <c r="I53" s="820" t="s">
        <v>571</v>
      </c>
      <c r="J53" s="819" t="s">
        <v>363</v>
      </c>
      <c r="K53" s="843"/>
      <c r="L53" s="822" t="s">
        <v>585</v>
      </c>
      <c r="M53" s="822" t="s">
        <v>586</v>
      </c>
      <c r="N53" s="822">
        <v>2020</v>
      </c>
      <c r="O53" s="821">
        <v>2016</v>
      </c>
      <c r="R53" s="917">
        <f>R39</f>
        <v>66.794767662435873</v>
      </c>
      <c r="S53" s="917">
        <f t="shared" ref="S53:X53" si="31">S39</f>
        <v>61.196667277324025</v>
      </c>
      <c r="T53" s="917">
        <f>T39/100</f>
        <v>383.27546100716859</v>
      </c>
      <c r="U53" s="917">
        <f t="shared" si="31"/>
        <v>6.3087111366481152E-2</v>
      </c>
      <c r="V53" s="917">
        <f t="shared" si="31"/>
        <v>202.58177973560055</v>
      </c>
      <c r="W53" s="917">
        <f t="shared" si="31"/>
        <v>44.049383592665009</v>
      </c>
      <c r="X53" s="917">
        <f t="shared" si="31"/>
        <v>424.64988440325476</v>
      </c>
      <c r="Z53" s="1121"/>
      <c r="AA53" s="1122"/>
      <c r="AB53" s="1121"/>
      <c r="AC53" s="819" t="s">
        <v>560</v>
      </c>
      <c r="AD53" s="819" t="s">
        <v>561</v>
      </c>
      <c r="AE53" s="819" t="s">
        <v>584</v>
      </c>
      <c r="AF53" s="819" t="s">
        <v>461</v>
      </c>
      <c r="AG53" s="819" t="s">
        <v>569</v>
      </c>
      <c r="AH53" s="820" t="s">
        <v>571</v>
      </c>
      <c r="AI53" s="819" t="s">
        <v>363</v>
      </c>
    </row>
    <row r="54" spans="1:35" ht="15" customHeight="1">
      <c r="A54" s="814" t="s">
        <v>479</v>
      </c>
      <c r="B54" s="823">
        <f>M54-M54*$D$72</f>
        <v>25989.286436340044</v>
      </c>
      <c r="C54" s="1114">
        <f>'2022 Emisja opti'!C54:C62</f>
        <v>19474.678342160056</v>
      </c>
      <c r="D54" s="824">
        <f>$B$54*Wskazniki!B37</f>
        <v>5.8475894481765094</v>
      </c>
      <c r="E54" s="824">
        <f>$B$54*Wskazniki!C37</f>
        <v>5.2238465737043489</v>
      </c>
      <c r="F54" s="824">
        <f>$B$54*Wskazniki!D37</f>
        <v>2436.2357105425153</v>
      </c>
      <c r="G54" s="824">
        <f>$B$54*Wskazniki!E37</f>
        <v>7.0171073378118122E-3</v>
      </c>
      <c r="H54" s="824">
        <f>$B$54*Wskazniki!F37</f>
        <v>23.390357792706038</v>
      </c>
      <c r="I54" s="824">
        <f>$B$54*Wskazniki!G37</f>
        <v>4.1063072569417267</v>
      </c>
      <c r="J54" s="824">
        <f>$B$54*Wskazniki!H37</f>
        <v>52.280638785663918</v>
      </c>
      <c r="K54" s="842"/>
      <c r="L54" s="814" t="s">
        <v>479</v>
      </c>
      <c r="M54" s="825">
        <f>N54*$M$64</f>
        <v>46172.475028540059</v>
      </c>
      <c r="N54" s="826">
        <f>100%-N55-N56-N57-N59-N58-N60-N61-N62</f>
        <v>0.66990000000000005</v>
      </c>
      <c r="O54" s="826">
        <f>'2022 Emisja opti'!N54</f>
        <v>0.71499999999999986</v>
      </c>
      <c r="R54" s="916">
        <f>R41</f>
        <v>48.771262879660107</v>
      </c>
      <c r="S54" s="916">
        <f t="shared" ref="S54:X54" si="32">S41</f>
        <v>44.733643904540777</v>
      </c>
      <c r="T54" s="916">
        <f>T41/100</f>
        <v>361.25692989757465</v>
      </c>
      <c r="U54" s="916">
        <f t="shared" si="32"/>
        <v>4.4922203146134224E-2</v>
      </c>
      <c r="V54" s="916">
        <f t="shared" si="32"/>
        <v>153.9689063929128</v>
      </c>
      <c r="W54" s="916">
        <f t="shared" si="32"/>
        <v>39.663502054695627</v>
      </c>
      <c r="X54" s="916">
        <f t="shared" si="32"/>
        <v>265.72402565879986</v>
      </c>
      <c r="Y54" s="879">
        <f>AA54+B54</f>
        <v>46172.475028540059</v>
      </c>
      <c r="Z54" s="814" t="s">
        <v>479</v>
      </c>
      <c r="AA54" s="823">
        <f>M54*$D$72</f>
        <v>20183.188592200015</v>
      </c>
      <c r="AB54" s="1114">
        <f>'2022 Emisja opti'!T54:T62</f>
        <v>0</v>
      </c>
      <c r="AC54" s="884">
        <f>$AA$54*Wskazniki!K37</f>
        <v>1.5742887101916012</v>
      </c>
      <c r="AD54" s="884">
        <f>$AA$54*Wskazniki!L37</f>
        <v>1.412823201454001</v>
      </c>
      <c r="AE54" s="884">
        <f>$AA$54*Wskazniki!M37</f>
        <v>1.8919720986328292</v>
      </c>
      <c r="AF54" s="884">
        <f>$AA$54*Wskazniki!N37</f>
        <v>1.5944718987838014E-3</v>
      </c>
      <c r="AG54" s="884">
        <f>$AA$54*Wskazniki!O37</f>
        <v>9.0824348664900061</v>
      </c>
      <c r="AH54" s="884">
        <f>$AA$54*Wskazniki!P37</f>
        <v>3.1889437975676023</v>
      </c>
      <c r="AI54" s="884">
        <f>$AA$54*Wskazniki!Q37</f>
        <v>0</v>
      </c>
    </row>
    <row r="55" spans="1:35">
      <c r="A55" s="814" t="s">
        <v>480</v>
      </c>
      <c r="B55" s="823">
        <f t="shared" ref="B55:B62" si="33">M55-M55*$D$72</f>
        <v>0</v>
      </c>
      <c r="C55" s="1115"/>
      <c r="D55" s="824">
        <f>Wskazniki!B38*'2032 Emisja opti'!$B$55</f>
        <v>0</v>
      </c>
      <c r="E55" s="824">
        <f>Wskazniki!C38*'2032 Emisja opti'!$B$55</f>
        <v>0</v>
      </c>
      <c r="F55" s="824">
        <f>Wskazniki!D38*'2032 Emisja opti'!$B$55</f>
        <v>0</v>
      </c>
      <c r="G55" s="824">
        <f>Wskazniki!E38*'2032 Emisja opti'!$B$55</f>
        <v>0</v>
      </c>
      <c r="H55" s="824">
        <f>Wskazniki!F38*'2032 Emisja opti'!$B$55</f>
        <v>0</v>
      </c>
      <c r="I55" s="824">
        <f>Wskazniki!G38*'2032 Emisja opti'!$B$55</f>
        <v>0</v>
      </c>
      <c r="J55" s="824">
        <f>Wskazniki!H38*'2032 Emisja opti'!$B$55</f>
        <v>0</v>
      </c>
      <c r="K55" s="842"/>
      <c r="L55" s="814" t="str">
        <f>A55</f>
        <v>sieć ciepłownicza</v>
      </c>
      <c r="M55" s="825">
        <f t="shared" ref="M55:M63" si="34">N55*$M$64</f>
        <v>0</v>
      </c>
      <c r="N55" s="826">
        <f t="shared" ref="N55:N58" si="35">O55</f>
        <v>0</v>
      </c>
      <c r="O55" s="826">
        <f>'2022 Emisja opti'!N55</f>
        <v>0</v>
      </c>
      <c r="Y55" s="879">
        <f t="shared" ref="Y55:Y62" si="36">AA55+B55</f>
        <v>0</v>
      </c>
      <c r="Z55" s="814" t="s">
        <v>480</v>
      </c>
      <c r="AA55" s="823">
        <f t="shared" ref="AA55:AA62" si="37">M55*$D$72</f>
        <v>0</v>
      </c>
      <c r="AB55" s="1115"/>
      <c r="AC55" s="824">
        <f>Wskazniki!AA38*'2032 Emisja opti'!$B$55</f>
        <v>0</v>
      </c>
      <c r="AD55" s="824">
        <f>Wskazniki!AB38*'2032 Emisja opti'!$B$55</f>
        <v>0</v>
      </c>
      <c r="AE55" s="824">
        <f>Wskazniki!AC38*'2032 Emisja opti'!$B$55</f>
        <v>0</v>
      </c>
      <c r="AF55" s="824">
        <f>Wskazniki!AD38*'2032 Emisja opti'!$B$55</f>
        <v>0</v>
      </c>
      <c r="AG55" s="824">
        <f>Wskazniki!AE38*'2032 Emisja opti'!$B$55</f>
        <v>0</v>
      </c>
      <c r="AH55" s="824">
        <f>Wskazniki!AF38*'2032 Emisja opti'!$B$55</f>
        <v>0</v>
      </c>
      <c r="AI55" s="824">
        <f>Wskazniki!AG38*'2032 Emisja opti'!$B$55</f>
        <v>0</v>
      </c>
    </row>
    <row r="56" spans="1:35" ht="15" customHeight="1">
      <c r="A56" s="814" t="s">
        <v>331</v>
      </c>
      <c r="B56" s="823">
        <f t="shared" si="33"/>
        <v>5900.8366427337214</v>
      </c>
      <c r="C56" s="1115"/>
      <c r="D56" s="824">
        <f>$B$56*Wskazniki!B39</f>
        <v>2.9504183213668604E-3</v>
      </c>
      <c r="E56" s="824">
        <f>$B$56*Wskazniki!C39</f>
        <v>2.9504183213668604E-3</v>
      </c>
      <c r="F56" s="824">
        <f>$B$56*Wskazniki!D39</f>
        <v>329.38470139739633</v>
      </c>
      <c r="G56" s="824">
        <f>$B$56*Wskazniki!E39</f>
        <v>0</v>
      </c>
      <c r="H56" s="824">
        <f>$B$56*Wskazniki!F39</f>
        <v>2.9504183213668604E-3</v>
      </c>
      <c r="I56" s="824">
        <f>$B$56*Wskazniki!G39</f>
        <v>0.29504183213668611</v>
      </c>
      <c r="J56" s="824">
        <f>$B$56*Wskazniki!H39</f>
        <v>4.4256274820502914E-2</v>
      </c>
      <c r="K56" s="842"/>
      <c r="L56" s="814" t="s">
        <v>331</v>
      </c>
      <c r="M56" s="825">
        <f t="shared" si="34"/>
        <v>10483.405660308914</v>
      </c>
      <c r="N56" s="826">
        <f>O56*P56</f>
        <v>0.15209999999999999</v>
      </c>
      <c r="O56" s="826">
        <f>'2022 Emisja opti'!N56</f>
        <v>0.11699999999999999</v>
      </c>
      <c r="P56" s="815">
        <f>P24</f>
        <v>1.3</v>
      </c>
      <c r="Y56" s="879">
        <f t="shared" si="36"/>
        <v>10483.405660308914</v>
      </c>
      <c r="Z56" s="814" t="s">
        <v>331</v>
      </c>
      <c r="AA56" s="823">
        <f t="shared" si="37"/>
        <v>4582.5690175751924</v>
      </c>
      <c r="AB56" s="1115"/>
      <c r="AC56" s="824">
        <f>$AA$56*Wskazniki!B39</f>
        <v>2.291284508787596E-3</v>
      </c>
      <c r="AD56" s="824">
        <f>$AA$56*Wskazniki!C39</f>
        <v>2.291284508787596E-3</v>
      </c>
      <c r="AE56" s="824">
        <f>$AA$56*Wskazniki!D39</f>
        <v>255.79900256104725</v>
      </c>
      <c r="AF56" s="824">
        <f>$AA$56*Wskazniki!E39</f>
        <v>0</v>
      </c>
      <c r="AG56" s="824">
        <f>$AA$56*Wskazniki!F39</f>
        <v>2.291284508787596E-3</v>
      </c>
      <c r="AH56" s="824">
        <f>$AA$56*Wskazniki!G39</f>
        <v>0.22912845087875963</v>
      </c>
      <c r="AI56" s="824">
        <f>$AA$56*Wskazniki!H39</f>
        <v>3.4369267631813943E-2</v>
      </c>
    </row>
    <row r="57" spans="1:35">
      <c r="A57" s="814" t="s">
        <v>335</v>
      </c>
      <c r="B57" s="823">
        <f t="shared" si="33"/>
        <v>2715.7039118432654</v>
      </c>
      <c r="C57" s="1115"/>
      <c r="D57" s="824">
        <f>$B$57*Wskazniki!B40</f>
        <v>1.3035378776847675</v>
      </c>
      <c r="E57" s="824">
        <f>$B$57*Wskazniki!C40</f>
        <v>1.2763808385663347</v>
      </c>
      <c r="F57" s="824">
        <f>$B$57*Wskazniki!D40</f>
        <v>0</v>
      </c>
      <c r="G57" s="824">
        <f>$B$57*Wskazniki!E40</f>
        <v>3.2860017333303512E-4</v>
      </c>
      <c r="H57" s="824">
        <f>$B$57*Wskazniki!F40</f>
        <v>2.9872743030275917E-2</v>
      </c>
      <c r="I57" s="824">
        <f>$B$57*Wskazniki!G40</f>
        <v>0.21725631294746126</v>
      </c>
      <c r="J57" s="824">
        <f>$B$57*Wskazniki!H40</f>
        <v>0.4871972817846818</v>
      </c>
      <c r="K57" s="842"/>
      <c r="L57" s="814" t="s">
        <v>335</v>
      </c>
      <c r="M57" s="825">
        <f t="shared" si="34"/>
        <v>4824.7100343302054</v>
      </c>
      <c r="N57" s="826">
        <f t="shared" si="35"/>
        <v>7.0000000000000007E-2</v>
      </c>
      <c r="O57" s="826">
        <f>'2022 Emisja opti'!N57</f>
        <v>7.0000000000000007E-2</v>
      </c>
      <c r="Y57" s="879">
        <f t="shared" si="36"/>
        <v>4824.7100343302054</v>
      </c>
      <c r="Z57" s="814" t="s">
        <v>335</v>
      </c>
      <c r="AA57" s="823">
        <f t="shared" si="37"/>
        <v>2109.0061224869401</v>
      </c>
      <c r="AB57" s="1115"/>
      <c r="AC57" s="884">
        <f>$AA$57*Wskazniki!K40</f>
        <v>7.1706208164555967E-5</v>
      </c>
      <c r="AD57" s="884">
        <f>$AA$57*Wskazniki!L40</f>
        <v>6.959720204206902E-5</v>
      </c>
      <c r="AE57" s="884">
        <f>$AA$57*Wskazniki!M40</f>
        <v>0</v>
      </c>
      <c r="AF57" s="884">
        <f>$AA$57*Wskazniki!N40</f>
        <v>2.1090061224869402E-5</v>
      </c>
      <c r="AG57" s="884">
        <f>$AA$57*Wskazniki!O40</f>
        <v>2.3199067347356339E-5</v>
      </c>
      <c r="AH57" s="884">
        <f>$AA$57*Wskazniki!P40</f>
        <v>0.16872048979895521</v>
      </c>
      <c r="AI57" s="884">
        <f>$AA$57*Wskazniki!Q40</f>
        <v>0.1135067095122471</v>
      </c>
    </row>
    <row r="58" spans="1:35">
      <c r="A58" s="814" t="s">
        <v>337</v>
      </c>
      <c r="B58" s="823">
        <f t="shared" si="33"/>
        <v>2327.7462101513697</v>
      </c>
      <c r="C58" s="1115"/>
      <c r="D58" s="824">
        <f>$B$58*Wskazniki!B41</f>
        <v>1.1173181808726576</v>
      </c>
      <c r="E58" s="824">
        <f>$B$58*Wskazniki!C41</f>
        <v>1.0940407187711438</v>
      </c>
      <c r="F58" s="824">
        <f>$B$58*Wskazniki!D41</f>
        <v>0</v>
      </c>
      <c r="G58" s="824">
        <f>$B$58*Wskazniki!E41</f>
        <v>2.8165729142831577E-4</v>
      </c>
      <c r="H58" s="824">
        <f>$B$58*Wskazniki!F41</f>
        <v>2.5605208311665066E-2</v>
      </c>
      <c r="I58" s="824">
        <f>$B$58*Wskazniki!G41</f>
        <v>0.18621969681210959</v>
      </c>
      <c r="J58" s="824">
        <f>$B$58*Wskazniki!H41</f>
        <v>0.41759767010115573</v>
      </c>
      <c r="K58" s="842"/>
      <c r="L58" s="814" t="s">
        <v>337</v>
      </c>
      <c r="M58" s="825">
        <f t="shared" si="34"/>
        <v>4135.4657437116039</v>
      </c>
      <c r="N58" s="826">
        <f t="shared" si="35"/>
        <v>0.06</v>
      </c>
      <c r="O58" s="826">
        <f>'2022 Emisja opti'!N58</f>
        <v>0.06</v>
      </c>
      <c r="Y58" s="879">
        <f t="shared" si="36"/>
        <v>4135.4657437116039</v>
      </c>
      <c r="Z58" s="814" t="s">
        <v>337</v>
      </c>
      <c r="AA58" s="823">
        <f t="shared" si="37"/>
        <v>1807.7195335602341</v>
      </c>
      <c r="AB58" s="1115"/>
      <c r="AC58" s="884">
        <f>$AA$58*Wskazniki!K41</f>
        <v>6.1462464141047958E-5</v>
      </c>
      <c r="AD58" s="884">
        <f>$AA$58*Wskazniki!L41</f>
        <v>5.9654744607487724E-5</v>
      </c>
      <c r="AE58" s="884">
        <f>$AA$58*Wskazniki!M41</f>
        <v>0</v>
      </c>
      <c r="AF58" s="884">
        <f>$AA$58*Wskazniki!N41</f>
        <v>1.8077195335602341E-5</v>
      </c>
      <c r="AG58" s="884">
        <f>$AA$58*Wskazniki!O41</f>
        <v>1.9884914869162576E-5</v>
      </c>
      <c r="AH58" s="884">
        <f>$AA$58*Wskazniki!P41</f>
        <v>0.14461756268481873</v>
      </c>
      <c r="AI58" s="884">
        <f>$AA$58*Wskazniki!Q41</f>
        <v>9.7291465296211799E-2</v>
      </c>
    </row>
    <row r="59" spans="1:35">
      <c r="A59" s="814" t="s">
        <v>338</v>
      </c>
      <c r="B59" s="823">
        <f t="shared" si="33"/>
        <v>193.97885084594748</v>
      </c>
      <c r="C59" s="1115"/>
      <c r="D59" s="824">
        <f>$B$59*Wskazniki!B42</f>
        <v>5.8193655253784243E-4</v>
      </c>
      <c r="E59" s="824">
        <f>$B$59*Wskazniki!C42</f>
        <v>5.8193655253784243E-4</v>
      </c>
      <c r="F59" s="824">
        <f>$B$59*Wskazniki!D42</f>
        <v>14.856840186291118</v>
      </c>
      <c r="G59" s="824">
        <f>$B$59*Wskazniki!E42</f>
        <v>1.939788508459475E-6</v>
      </c>
      <c r="H59" s="824">
        <f>$B$59*Wskazniki!F42</f>
        <v>2.7157039118432643E-2</v>
      </c>
      <c r="I59" s="824">
        <f>$B$59*Wskazniki!G42</f>
        <v>1.3578519559216322E-2</v>
      </c>
      <c r="J59" s="824">
        <f>$B$59*Wskazniki!H42</f>
        <v>3.1528457135876053E-3</v>
      </c>
      <c r="K59" s="842"/>
      <c r="L59" s="814" t="s">
        <v>587</v>
      </c>
      <c r="M59" s="825">
        <f t="shared" si="34"/>
        <v>344.62214530930032</v>
      </c>
      <c r="N59" s="826">
        <v>5.0000000000000001E-3</v>
      </c>
      <c r="O59" s="826">
        <f>'2022 Emisja opti'!N59</f>
        <v>0.02</v>
      </c>
      <c r="Y59" s="879">
        <f t="shared" si="36"/>
        <v>344.62214530930032</v>
      </c>
      <c r="Z59" s="814" t="s">
        <v>338</v>
      </c>
      <c r="AA59" s="823">
        <f t="shared" si="37"/>
        <v>150.64329446335285</v>
      </c>
      <c r="AB59" s="1115"/>
      <c r="AC59" s="824">
        <f>$AA$59*Wskazniki!K42</f>
        <v>4.5192988339005853E-4</v>
      </c>
      <c r="AD59" s="824">
        <f>$AA$59*Wskazniki!L42</f>
        <v>4.5192988339005853E-4</v>
      </c>
      <c r="AE59" s="824">
        <f>$AA$59*Wskazniki!M42</f>
        <v>11.537769922948195</v>
      </c>
      <c r="AF59" s="824">
        <f>$AA$59*Wskazniki!N42</f>
        <v>1.5064329446335285E-6</v>
      </c>
      <c r="AG59" s="824">
        <f>$AA$59*Wskazniki!O42</f>
        <v>2.1090061224869398E-2</v>
      </c>
      <c r="AH59" s="824">
        <f>$AA$59*Wskazniki!P42</f>
        <v>1.0545030612434699E-2</v>
      </c>
      <c r="AI59" s="824">
        <f>$AA$59*Wskazniki!Q42</f>
        <v>2.4484889108178777E-3</v>
      </c>
    </row>
    <row r="60" spans="1:35" ht="15" customHeight="1">
      <c r="A60" s="814" t="s">
        <v>531</v>
      </c>
      <c r="B60" s="823">
        <f t="shared" si="33"/>
        <v>116.38731050756849</v>
      </c>
      <c r="C60" s="1115"/>
      <c r="D60" s="824">
        <v>0</v>
      </c>
      <c r="E60" s="824">
        <v>0</v>
      </c>
      <c r="F60" s="960">
        <f>(C54*Wskazniki!D43)+(B60+M60)*Wskazniki!D43</f>
        <v>16075.845219160803</v>
      </c>
      <c r="G60" s="824">
        <v>0</v>
      </c>
      <c r="H60" s="824">
        <v>0</v>
      </c>
      <c r="I60" s="824">
        <v>0</v>
      </c>
      <c r="J60" s="824">
        <v>0</v>
      </c>
      <c r="K60" s="842"/>
      <c r="L60" s="814" t="s">
        <v>531</v>
      </c>
      <c r="M60" s="825">
        <f t="shared" si="34"/>
        <v>206.77328718558019</v>
      </c>
      <c r="N60" s="826">
        <v>3.0000000000000001E-3</v>
      </c>
      <c r="O60" s="826">
        <f>'2022 Emisja opti'!N60</f>
        <v>5.0000000000000001E-3</v>
      </c>
      <c r="Y60" s="879">
        <f t="shared" si="36"/>
        <v>206.77328718558019</v>
      </c>
      <c r="Z60" s="814" t="s">
        <v>531</v>
      </c>
      <c r="AA60" s="823">
        <f t="shared" si="37"/>
        <v>90.385976678011701</v>
      </c>
      <c r="AB60" s="1115"/>
      <c r="AC60" s="824">
        <v>0</v>
      </c>
      <c r="AD60" s="824">
        <v>0</v>
      </c>
      <c r="AE60" s="824">
        <f>(AB54*Wskazniki!AC59)</f>
        <v>0</v>
      </c>
      <c r="AF60" s="824">
        <v>0</v>
      </c>
      <c r="AG60" s="824">
        <v>0</v>
      </c>
      <c r="AH60" s="824">
        <v>0</v>
      </c>
      <c r="AI60" s="824">
        <v>0</v>
      </c>
    </row>
    <row r="61" spans="1:35">
      <c r="A61" s="831" t="s">
        <v>588</v>
      </c>
      <c r="B61" s="823">
        <f t="shared" si="33"/>
        <v>581.93655253784243</v>
      </c>
      <c r="C61" s="1115"/>
      <c r="D61" s="824"/>
      <c r="E61" s="824"/>
      <c r="F61" s="824"/>
      <c r="G61" s="824"/>
      <c r="H61" s="824"/>
      <c r="I61" s="824"/>
      <c r="J61" s="824"/>
      <c r="K61" s="842"/>
      <c r="L61" s="814" t="s">
        <v>482</v>
      </c>
      <c r="M61" s="825">
        <f t="shared" si="34"/>
        <v>1033.866435927901</v>
      </c>
      <c r="N61" s="826">
        <v>1.4999999999999999E-2</v>
      </c>
      <c r="O61" s="826">
        <f>'2022 Emisja opti'!N61</f>
        <v>8.0000000000000002E-3</v>
      </c>
      <c r="Y61" s="879">
        <f t="shared" si="36"/>
        <v>1033.866435927901</v>
      </c>
      <c r="Z61" s="831" t="s">
        <v>588</v>
      </c>
      <c r="AA61" s="823">
        <f t="shared" si="37"/>
        <v>451.92988339005854</v>
      </c>
      <c r="AB61" s="1115"/>
      <c r="AC61" s="824"/>
      <c r="AD61" s="824"/>
      <c r="AE61" s="824"/>
      <c r="AF61" s="824"/>
      <c r="AG61" s="824"/>
      <c r="AH61" s="824"/>
      <c r="AI61" s="824"/>
    </row>
    <row r="62" spans="1:35">
      <c r="A62" s="831" t="str">
        <f>L62</f>
        <v>OŹE (pompy ciepła)</v>
      </c>
      <c r="B62" s="823">
        <f t="shared" si="33"/>
        <v>969.89425422973738</v>
      </c>
      <c r="C62" s="1116"/>
      <c r="D62" s="824"/>
      <c r="E62" s="824"/>
      <c r="F62" s="824"/>
      <c r="G62" s="824"/>
      <c r="H62" s="824"/>
      <c r="I62" s="824"/>
      <c r="J62" s="824"/>
      <c r="K62" s="842"/>
      <c r="L62" s="814" t="s">
        <v>589</v>
      </c>
      <c r="M62" s="825">
        <f t="shared" si="34"/>
        <v>1723.1107265465016</v>
      </c>
      <c r="N62" s="826">
        <v>2.5000000000000001E-2</v>
      </c>
      <c r="O62" s="826">
        <f>'2022 Emisja opti'!N62</f>
        <v>5.0000000000000001E-3</v>
      </c>
      <c r="Y62" s="879">
        <f t="shared" si="36"/>
        <v>1723.1107265465016</v>
      </c>
      <c r="Z62" s="831" t="str">
        <f>Z46</f>
        <v>pompy ciepła</v>
      </c>
      <c r="AA62" s="823">
        <f t="shared" si="37"/>
        <v>753.21647231676423</v>
      </c>
      <c r="AB62" s="1116"/>
      <c r="AC62" s="824"/>
      <c r="AD62" s="824"/>
      <c r="AE62" s="824"/>
      <c r="AF62" s="824"/>
      <c r="AG62" s="824"/>
      <c r="AH62" s="824"/>
      <c r="AI62" s="824"/>
    </row>
    <row r="63" spans="1:35">
      <c r="A63" s="832" t="s">
        <v>590</v>
      </c>
      <c r="B63" s="833">
        <f>SUM(B54:B62)</f>
        <v>38795.770169189491</v>
      </c>
      <c r="C63" s="834">
        <f>C54</f>
        <v>19474.678342160056</v>
      </c>
      <c r="D63" s="835">
        <f>SUM(D54:D62)</f>
        <v>8.271977861607839</v>
      </c>
      <c r="E63" s="835">
        <f t="shared" ref="E63:J63" si="38">SUM(E54:E62)</f>
        <v>7.5978004859157329</v>
      </c>
      <c r="F63" s="835">
        <f>SUM(F54:F62)</f>
        <v>18856.322471287007</v>
      </c>
      <c r="G63" s="836">
        <f t="shared" si="38"/>
        <v>7.6293045910816228E-3</v>
      </c>
      <c r="H63" s="835">
        <f t="shared" si="38"/>
        <v>23.475943201487773</v>
      </c>
      <c r="I63" s="835">
        <f t="shared" si="38"/>
        <v>4.8184036183972001</v>
      </c>
      <c r="J63" s="835">
        <f t="shared" si="38"/>
        <v>53.232842858083849</v>
      </c>
      <c r="K63" s="842"/>
      <c r="L63" s="829"/>
      <c r="M63" s="825">
        <f t="shared" si="34"/>
        <v>0</v>
      </c>
      <c r="N63" s="829"/>
      <c r="O63" s="829"/>
      <c r="Y63" s="879">
        <f>AA63+B63</f>
        <v>68924.42906186005</v>
      </c>
      <c r="Z63" s="832" t="s">
        <v>590</v>
      </c>
      <c r="AA63" s="833">
        <f>SUM(AA54:AA62)</f>
        <v>30128.658892670563</v>
      </c>
      <c r="AB63" s="834">
        <f>AB54</f>
        <v>0</v>
      </c>
      <c r="AC63" s="885">
        <f>SUM(AC54:AC62)</f>
        <v>1.5771650932560846</v>
      </c>
      <c r="AD63" s="885">
        <f t="shared" ref="AD63:AI63" si="39">SUM(AD54:AD62)</f>
        <v>1.4156956677928283</v>
      </c>
      <c r="AE63" s="885">
        <f t="shared" si="39"/>
        <v>269.22874458262828</v>
      </c>
      <c r="AF63" s="885">
        <f t="shared" si="39"/>
        <v>1.6351455882889067E-3</v>
      </c>
      <c r="AG63" s="885">
        <f t="shared" si="39"/>
        <v>9.10585929620588</v>
      </c>
      <c r="AH63" s="885">
        <f t="shared" si="39"/>
        <v>3.7419553315425702</v>
      </c>
      <c r="AI63" s="885">
        <f t="shared" si="39"/>
        <v>0.2476159313510907</v>
      </c>
    </row>
    <row r="64" spans="1:35">
      <c r="B64" s="837"/>
      <c r="D64" s="838">
        <f>D63+D47+D31+D15</f>
        <v>42.260052672700823</v>
      </c>
      <c r="E64" s="838">
        <f t="shared" ref="E64:J64" si="40">E63+E47+E31+E15</f>
        <v>38.88910993548371</v>
      </c>
      <c r="F64" s="838">
        <f>F63+F47+F31+F15</f>
        <v>34976.383912585268</v>
      </c>
      <c r="G64" s="838">
        <f t="shared" si="40"/>
        <v>3.815982077466204E-2</v>
      </c>
      <c r="H64" s="838">
        <f t="shared" si="40"/>
        <v>116.43109714252219</v>
      </c>
      <c r="I64" s="838">
        <f t="shared" si="40"/>
        <v>24.05719223741194</v>
      </c>
      <c r="J64" s="838">
        <f t="shared" si="40"/>
        <v>264.61614510428331</v>
      </c>
      <c r="K64" s="842"/>
      <c r="L64" s="829" t="s">
        <v>297</v>
      </c>
      <c r="M64" s="839">
        <f>OPTI!R43</f>
        <v>68924.429061860064</v>
      </c>
      <c r="N64" s="840">
        <f>SUM(N54:N63)</f>
        <v>1.0000000000000002</v>
      </c>
      <c r="O64" s="841">
        <f>SUM(O54:O63)</f>
        <v>1</v>
      </c>
      <c r="AA64" s="837"/>
      <c r="AC64" s="838">
        <f>AC63+AC47+AC31+AC15</f>
        <v>6.5112102069592854</v>
      </c>
      <c r="AD64" s="838">
        <f t="shared" ref="AD64:AI64" si="41">AD63+AD47+AD31+AD15</f>
        <v>5.8445339690570686</v>
      </c>
      <c r="AE64" s="838">
        <f>AE63+AE47+AE31+AE15</f>
        <v>1149.3090771721993</v>
      </c>
      <c r="AF64" s="838">
        <f t="shared" si="41"/>
        <v>6.7623823714721837E-3</v>
      </c>
      <c r="AG64" s="838">
        <f t="shared" si="41"/>
        <v>37.537809250390609</v>
      </c>
      <c r="AH64" s="838">
        <f t="shared" si="41"/>
        <v>15.606309817283689</v>
      </c>
      <c r="AI64" s="838">
        <f t="shared" si="41"/>
        <v>1.1078805545165302</v>
      </c>
    </row>
    <row r="65" spans="1:22">
      <c r="A65" s="1124"/>
      <c r="B65" s="1124"/>
      <c r="C65" s="1124"/>
      <c r="D65" s="1124"/>
      <c r="E65" s="1124"/>
      <c r="F65" s="1124"/>
      <c r="G65" s="1124"/>
      <c r="H65" s="1124"/>
      <c r="I65" s="1124"/>
      <c r="J65" s="1124"/>
      <c r="K65" s="1124"/>
      <c r="L65" s="1124"/>
      <c r="M65" s="1124"/>
      <c r="N65" s="1124"/>
      <c r="O65" s="1124"/>
    </row>
    <row r="66" spans="1:22">
      <c r="L66" s="962" t="s">
        <v>637</v>
      </c>
      <c r="M66" s="963">
        <f>M64+M48+M32+M16</f>
        <v>325446.53919266158</v>
      </c>
      <c r="N66" s="963">
        <f>Y63+Y47+Y31+Y15</f>
        <v>334018.42957455694</v>
      </c>
      <c r="O66" s="964">
        <f>OPTI!E88</f>
        <v>325446.53919266158</v>
      </c>
    </row>
    <row r="67" spans="1:22" ht="15">
      <c r="A67" s="1117" t="s">
        <v>603</v>
      </c>
      <c r="B67" s="1117"/>
      <c r="C67" s="1117"/>
      <c r="D67" s="1117"/>
      <c r="E67" s="1117"/>
      <c r="F67" s="1117"/>
      <c r="G67" s="1117"/>
      <c r="H67" s="1117"/>
      <c r="I67" s="1117"/>
      <c r="J67" s="1117"/>
    </row>
    <row r="68" spans="1:22" ht="56.25">
      <c r="A68" s="829"/>
      <c r="B68" s="848" t="s">
        <v>479</v>
      </c>
      <c r="C68" s="848" t="s">
        <v>604</v>
      </c>
      <c r="D68" s="878" t="s">
        <v>630</v>
      </c>
      <c r="E68" s="867" t="s">
        <v>623</v>
      </c>
      <c r="F68" s="815" t="s">
        <v>625</v>
      </c>
      <c r="V68" s="907"/>
    </row>
    <row r="69" spans="1:22" ht="14.25">
      <c r="A69" s="829" t="s">
        <v>426</v>
      </c>
      <c r="B69" s="853">
        <f>N6</f>
        <v>0</v>
      </c>
      <c r="C69" s="853">
        <f>(N9+N10)</f>
        <v>0</v>
      </c>
      <c r="D69" s="871">
        <f>OPTI!T52</f>
        <v>0.87373411220873665</v>
      </c>
      <c r="E69" s="872">
        <f>OPTI!T49</f>
        <v>5.6603773584905669E-2</v>
      </c>
    </row>
    <row r="70" spans="1:22" ht="14.25">
      <c r="A70" s="829" t="s">
        <v>50</v>
      </c>
      <c r="B70" s="853">
        <f>N22</f>
        <v>0.68494723531654278</v>
      </c>
      <c r="C70" s="853">
        <f>(N25+N26)</f>
        <v>0.15</v>
      </c>
      <c r="D70" s="871">
        <f>OPTI!T34</f>
        <v>0.38000826446280989</v>
      </c>
      <c r="E70" s="872">
        <f>OPTI!T31</f>
        <v>0.17355371900826441</v>
      </c>
    </row>
    <row r="71" spans="1:22" ht="14.25">
      <c r="A71" s="829" t="s">
        <v>29</v>
      </c>
      <c r="B71" s="853">
        <f>N38</f>
        <v>4.0000000000000042E-2</v>
      </c>
      <c r="C71" s="853">
        <f>(N41+N42)</f>
        <v>0</v>
      </c>
      <c r="D71" s="871">
        <f>OPTI!T40</f>
        <v>0.42584690308303674</v>
      </c>
      <c r="E71" s="872">
        <f>OPTI!T40</f>
        <v>0.42584690308303674</v>
      </c>
    </row>
    <row r="72" spans="1:22" ht="14.25">
      <c r="A72" s="829" t="s">
        <v>412</v>
      </c>
      <c r="B72" s="853">
        <f>N54</f>
        <v>0.66990000000000005</v>
      </c>
      <c r="C72" s="853">
        <f>(N57+N58)</f>
        <v>0.13</v>
      </c>
      <c r="D72" s="871">
        <f>OPTI!T46</f>
        <v>0.43712598425196858</v>
      </c>
      <c r="E72" s="872">
        <f>OPTI!T43</f>
        <v>0.21259842519685038</v>
      </c>
    </row>
    <row r="74" spans="1:22" ht="12.75">
      <c r="A74" s="829" t="s">
        <v>426</v>
      </c>
      <c r="B74" s="498">
        <f>B84*(1-(B69*((1-B81)+E69*(1-B81)))-C69*((1-B82)+E69*(1-B82)))</f>
        <v>1.2810420790650937E-4</v>
      </c>
      <c r="C74" s="498">
        <f>C84*(1-(B69*((1-C81)+E69*(1-C81)))-C69*((1-C82)+E69*(1-C82)))</f>
        <v>1.2810420790650937E-4</v>
      </c>
      <c r="D74" s="869">
        <f>D84</f>
        <v>287.26008488021114</v>
      </c>
      <c r="E74" s="498">
        <f>E84*(1-(B69*((1-E81)+E69*(1-E81)))-C69*((1-E82)+E69*(1-E82)))</f>
        <v>7.1169004392504938E-8</v>
      </c>
      <c r="F74" s="498">
        <f>F84*(1-(B69*((1-F81)+E69*(1-F81)))-C69*((1-F82)+E69*(1-F82)))</f>
        <v>1.1031195680838268E-3</v>
      </c>
      <c r="G74" s="498">
        <f>G84*(1-(B69*((1-G81)+E69*(1-G81)))-C69*((1-G82)+E69*(1-G82)))</f>
        <v>1.1173533689623323E-2</v>
      </c>
      <c r="H74" s="498">
        <f>H84*(1-(B69*((1-H81)+E69*(1-H81)))-C69*((1-H82)+E69*(1-H82)))</f>
        <v>1.716977523938233E-3</v>
      </c>
    </row>
    <row r="75" spans="1:22" ht="12.75">
      <c r="A75" s="829" t="s">
        <v>50</v>
      </c>
      <c r="B75" s="498">
        <f>B85*(1-(B70*((1-B81)+E70*(1-B81)))-C70*((1-B82)+E70*(1-B82)))</f>
        <v>10.565213610766653</v>
      </c>
      <c r="C75" s="498">
        <f>C85*(1-(B70*((1-C81)+E70*(1-C81)))-C70*((1-C82)+E70*(1-C82)))</f>
        <v>9.7638820773143511</v>
      </c>
      <c r="D75" s="869">
        <f>D85</f>
        <v>15609.698683617822</v>
      </c>
      <c r="E75" s="498">
        <f>E85*(1-(B70*((1-E81)+E70*(1-E81)))-C70*((1-E82)+E70*(1-E82)))</f>
        <v>1.0644312010558267E-3</v>
      </c>
      <c r="F75" s="498">
        <f>F85*(1-(B70*((1-F81)+E70*(1-F81)))-C70*((1-F82)+E70*(1-F82)))</f>
        <v>55.481116378467824</v>
      </c>
      <c r="G75" s="498">
        <f>G85*(1-(B70*((1-G81)+E70*(1-G81)))-C70*((1-G82)+E70*(1-G82)))</f>
        <v>20.339947432509181</v>
      </c>
      <c r="H75" s="498">
        <f>H85*(1-(B70*((1-H81)+E70*(1-H81)))-C70*((1-H82)+E70*(1-H82)))</f>
        <v>107.61091464647239</v>
      </c>
    </row>
    <row r="76" spans="1:22" ht="12.75">
      <c r="A76" s="829" t="s">
        <v>29</v>
      </c>
      <c r="B76" s="498">
        <f>B86*(1-(B71*((1-B81)+E71*(1-B81)))-C71*((1-B82)+E71*(1-B82)))</f>
        <v>4.417451875564074E-2</v>
      </c>
      <c r="C76" s="498">
        <f>C86*(1-(B71*((1-C81)+E71*(1-C81)))-C71*((1-C82)+E71*(1-C82)))</f>
        <v>3.9481947774344772E-2</v>
      </c>
      <c r="D76" s="869">
        <f>D86</f>
        <v>223.10267280023243</v>
      </c>
      <c r="E76" s="498">
        <f>E86*(1-(B71*((1-E81)+E71*(1-E81)))-C71*((1-E82)+E71*(1-E82)))</f>
        <v>5.222834891755147E-5</v>
      </c>
      <c r="F76" s="498">
        <f>F86*(1-(B71*((1-F81)+E71*(1-F81)))-C71*((1-F82)+E71*(1-F82)))</f>
        <v>0.18462174751835983</v>
      </c>
      <c r="G76" s="498">
        <f>G86*(1-(B71*((1-G81)+E71*(1-G81)))-C71*((1-G82)+E71*(1-G82)))</f>
        <v>3.5760957052425955E-2</v>
      </c>
      <c r="H76" s="498">
        <f>H86*(1-(B71*((1-H81)+E71*(1-H81)))-C71*((1-H82)+E71*(1-H82)))</f>
        <v>0.39801014947912144</v>
      </c>
    </row>
    <row r="77" spans="1:22" ht="12.75">
      <c r="A77" s="829" t="s">
        <v>412</v>
      </c>
      <c r="B77" s="498">
        <f>B87*(1-(B72*((1-B81)+E72*(1-B81)))-C72*((1-B82)+E72*(1-B82)))</f>
        <v>2.6702994058030809</v>
      </c>
      <c r="C77" s="498">
        <f>C87*(1-(B72*((1-C81)+E72*(1-C81)))-C72*((1-C82)+E72*(1-C82)))</f>
        <v>2.4617489608649961</v>
      </c>
      <c r="D77" s="869">
        <f>D87</f>
        <v>18856.322471287007</v>
      </c>
      <c r="E77" s="498">
        <f>E87*(1-(B72*((1-E81)+E72*(1-E81)))-C72*((1-E82)+E72*(1-E82)))</f>
        <v>3.3041080344345158E-4</v>
      </c>
      <c r="F77" s="498">
        <f>F87*(1-(B72*((1-F81)+E72*(1-F81)))-C72*((1-F82)+E72*(1-F82)))</f>
        <v>13.940957807770427</v>
      </c>
      <c r="G77" s="498">
        <f>G87*(1-(B72*((1-G81)+E72*(1-G81)))-C72*((1-G82)+E72*(1-G82)))</f>
        <v>5.0962522550003735</v>
      </c>
      <c r="H77" s="498">
        <f>H87*(1-(B72*((1-H81)+E72*(1-H81)))-C72*((1-H82)+E72*(1-H82)))</f>
        <v>27.416045793769221</v>
      </c>
    </row>
    <row r="78" spans="1:22" ht="12.75">
      <c r="A78" s="829" t="s">
        <v>220</v>
      </c>
      <c r="B78" s="829">
        <f>SUM(B74:B77)</f>
        <v>13.279815639533282</v>
      </c>
      <c r="C78" s="829">
        <f t="shared" ref="C78:H78" si="42">SUM(C74:C77)</f>
        <v>12.265241090161599</v>
      </c>
      <c r="D78" s="869">
        <f t="shared" si="42"/>
        <v>34976.383912585268</v>
      </c>
      <c r="E78" s="829">
        <f t="shared" si="42"/>
        <v>1.447141522421222E-3</v>
      </c>
      <c r="F78" s="829">
        <f t="shared" si="42"/>
        <v>69.607799053324698</v>
      </c>
      <c r="G78" s="829">
        <f t="shared" si="42"/>
        <v>25.4831341782516</v>
      </c>
      <c r="H78" s="829">
        <f t="shared" si="42"/>
        <v>135.42668756724467</v>
      </c>
    </row>
    <row r="80" spans="1:22" ht="14.25">
      <c r="B80" s="855" t="s">
        <v>560</v>
      </c>
      <c r="C80" s="855" t="s">
        <v>561</v>
      </c>
      <c r="D80" s="855" t="s">
        <v>599</v>
      </c>
      <c r="E80" s="855" t="s">
        <v>600</v>
      </c>
      <c r="F80" s="855" t="s">
        <v>601</v>
      </c>
      <c r="G80" s="855" t="s">
        <v>602</v>
      </c>
      <c r="H80" s="856" t="s">
        <v>363</v>
      </c>
    </row>
    <row r="81" spans="1:8" ht="15">
      <c r="A81" s="815" t="s">
        <v>342</v>
      </c>
      <c r="B81" s="857">
        <f>Wskazniki!D50/Wskazniki!C50</f>
        <v>0.34666666666666668</v>
      </c>
      <c r="C81" s="858">
        <f>Wskazniki!D51/Wskazniki!C51</f>
        <v>0.34825870646766172</v>
      </c>
      <c r="D81" s="857">
        <f>Wskazniki!D52/Wskazniki!C52</f>
        <v>1</v>
      </c>
      <c r="E81" s="857">
        <f>Wskazniki!D53/Wskazniki!C53</f>
        <v>2.9259259259259261E-4</v>
      </c>
      <c r="F81" s="857">
        <f>Wskazniki!D54/Wskazniki!C54</f>
        <v>0.5</v>
      </c>
      <c r="G81" s="857">
        <f>Wskazniki!D55/Wskazniki!C55</f>
        <v>1.0443037974683544</v>
      </c>
      <c r="H81" s="859">
        <v>0.5</v>
      </c>
    </row>
    <row r="82" spans="1:8" ht="14.25">
      <c r="A82" s="815" t="s">
        <v>335</v>
      </c>
      <c r="B82" s="857">
        <f>Wskazniki!H50/Wskazniki!G50</f>
        <v>7.0833333333333331E-2</v>
      </c>
      <c r="C82" s="857">
        <f>Wskazniki!H51/Wskazniki!G51</f>
        <v>7.0212765957446813E-2</v>
      </c>
      <c r="D82" s="857">
        <v>1</v>
      </c>
      <c r="E82" s="857">
        <f>Wskazniki!H53/Wskazniki!G53</f>
        <v>8.2644628099173556E-2</v>
      </c>
      <c r="F82" s="857">
        <f>Wskazniki!H54/Wskazniki!G54</f>
        <v>1</v>
      </c>
      <c r="G82" s="857">
        <f>Wskazniki!H55/Wskazniki!G55</f>
        <v>1.1375</v>
      </c>
      <c r="H82" s="859">
        <v>0.5</v>
      </c>
    </row>
    <row r="84" spans="1:8">
      <c r="A84" s="829" t="s">
        <v>426</v>
      </c>
      <c r="B84" s="868">
        <f t="shared" ref="B84:H84" si="43">D15</f>
        <v>1.2810420790650937E-4</v>
      </c>
      <c r="C84" s="868">
        <f t="shared" si="43"/>
        <v>1.2810420790650937E-4</v>
      </c>
      <c r="D84" s="868">
        <f t="shared" si="43"/>
        <v>287.26008488021114</v>
      </c>
      <c r="E84" s="868">
        <f t="shared" si="43"/>
        <v>7.1169004392504938E-8</v>
      </c>
      <c r="F84" s="868">
        <f t="shared" si="43"/>
        <v>1.1031195680838268E-3</v>
      </c>
      <c r="G84" s="868">
        <f t="shared" si="43"/>
        <v>1.1173533689623323E-2</v>
      </c>
      <c r="H84" s="868">
        <f t="shared" si="43"/>
        <v>1.716977523938233E-3</v>
      </c>
    </row>
    <row r="85" spans="1:8">
      <c r="A85" s="829" t="s">
        <v>50</v>
      </c>
      <c r="B85" s="868">
        <f t="shared" ref="B85:H85" si="44">D31</f>
        <v>33.942062442598484</v>
      </c>
      <c r="C85" s="868">
        <f t="shared" si="44"/>
        <v>31.25017514239298</v>
      </c>
      <c r="D85" s="868">
        <f t="shared" si="44"/>
        <v>15609.698683617822</v>
      </c>
      <c r="E85" s="868">
        <f t="shared" si="44"/>
        <v>3.0475058693344152E-2</v>
      </c>
      <c r="F85" s="868">
        <f t="shared" si="44"/>
        <v>92.764009682560626</v>
      </c>
      <c r="G85" s="868">
        <f t="shared" si="44"/>
        <v>19.191944261926242</v>
      </c>
      <c r="H85" s="868">
        <f t="shared" si="44"/>
        <v>210.97189191932881</v>
      </c>
    </row>
    <row r="86" spans="1:8">
      <c r="A86" s="829" t="s">
        <v>29</v>
      </c>
      <c r="B86" s="868">
        <f t="shared" ref="B86:H86" si="45">D47</f>
        <v>4.5884264286590419E-2</v>
      </c>
      <c r="C86" s="868">
        <f t="shared" si="45"/>
        <v>4.1006202967085792E-2</v>
      </c>
      <c r="D86" s="868">
        <f t="shared" si="45"/>
        <v>223.10267280023243</v>
      </c>
      <c r="E86" s="868">
        <f t="shared" si="45"/>
        <v>5.5386321231875486E-5</v>
      </c>
      <c r="F86" s="868">
        <f t="shared" si="45"/>
        <v>0.19004113890570118</v>
      </c>
      <c r="G86" s="868">
        <f t="shared" si="45"/>
        <v>3.5670823398877602E-2</v>
      </c>
      <c r="H86" s="868">
        <f t="shared" si="45"/>
        <v>0.40969334934671608</v>
      </c>
    </row>
    <row r="87" spans="1:8">
      <c r="A87" s="829" t="s">
        <v>412</v>
      </c>
      <c r="B87" s="868">
        <f t="shared" ref="B87:H87" si="46">D63</f>
        <v>8.271977861607839</v>
      </c>
      <c r="C87" s="868">
        <f t="shared" si="46"/>
        <v>7.5978004859157329</v>
      </c>
      <c r="D87" s="868">
        <f t="shared" si="46"/>
        <v>18856.322471287007</v>
      </c>
      <c r="E87" s="868">
        <f t="shared" si="46"/>
        <v>7.6293045910816228E-3</v>
      </c>
      <c r="F87" s="868">
        <f t="shared" si="46"/>
        <v>23.475943201487773</v>
      </c>
      <c r="G87" s="868">
        <f t="shared" si="46"/>
        <v>4.8184036183972001</v>
      </c>
      <c r="H87" s="868">
        <f t="shared" si="46"/>
        <v>53.232842858083849</v>
      </c>
    </row>
  </sheetData>
  <mergeCells count="69">
    <mergeCell ref="A1:O1"/>
    <mergeCell ref="A2:J2"/>
    <mergeCell ref="A3:C3"/>
    <mergeCell ref="D3:J4"/>
    <mergeCell ref="A4:A5"/>
    <mergeCell ref="B4:B5"/>
    <mergeCell ref="C4:C5"/>
    <mergeCell ref="L4:N4"/>
    <mergeCell ref="C6:C14"/>
    <mergeCell ref="A17:O17"/>
    <mergeCell ref="A18:J18"/>
    <mergeCell ref="A19:C19"/>
    <mergeCell ref="D19:J20"/>
    <mergeCell ref="A20:A21"/>
    <mergeCell ref="B20:B21"/>
    <mergeCell ref="C20:C21"/>
    <mergeCell ref="L20:N20"/>
    <mergeCell ref="C22:C30"/>
    <mergeCell ref="A33:O33"/>
    <mergeCell ref="A34:J34"/>
    <mergeCell ref="A35:C35"/>
    <mergeCell ref="D35:J36"/>
    <mergeCell ref="A36:A37"/>
    <mergeCell ref="B36:B37"/>
    <mergeCell ref="C36:C37"/>
    <mergeCell ref="L36:N36"/>
    <mergeCell ref="A67:J67"/>
    <mergeCell ref="C54:C62"/>
    <mergeCell ref="A65:O65"/>
    <mergeCell ref="R36:X36"/>
    <mergeCell ref="C38:C46"/>
    <mergeCell ref="A49:O49"/>
    <mergeCell ref="A50:J50"/>
    <mergeCell ref="A51:C51"/>
    <mergeCell ref="D51:J52"/>
    <mergeCell ref="A52:A53"/>
    <mergeCell ref="B52:B53"/>
    <mergeCell ref="C52:C53"/>
    <mergeCell ref="L52:N52"/>
    <mergeCell ref="R44:X44"/>
    <mergeCell ref="Z2:AI2"/>
    <mergeCell ref="Z3:AB3"/>
    <mergeCell ref="AC3:AI4"/>
    <mergeCell ref="Z4:Z5"/>
    <mergeCell ref="AA4:AA5"/>
    <mergeCell ref="AB4:AB5"/>
    <mergeCell ref="AB6:AB14"/>
    <mergeCell ref="Z18:AI18"/>
    <mergeCell ref="Z19:AB19"/>
    <mergeCell ref="AC19:AI20"/>
    <mergeCell ref="Z20:Z21"/>
    <mergeCell ref="AA20:AA21"/>
    <mergeCell ref="AB20:AB21"/>
    <mergeCell ref="Z1:AI1"/>
    <mergeCell ref="AB54:AB62"/>
    <mergeCell ref="AB38:AB46"/>
    <mergeCell ref="Z50:AI50"/>
    <mergeCell ref="Z51:AB51"/>
    <mergeCell ref="AC51:AI52"/>
    <mergeCell ref="Z52:Z53"/>
    <mergeCell ref="AA52:AA53"/>
    <mergeCell ref="AB52:AB53"/>
    <mergeCell ref="AB22:AB30"/>
    <mergeCell ref="Z34:AI34"/>
    <mergeCell ref="Z35:AB35"/>
    <mergeCell ref="AC35:AI36"/>
    <mergeCell ref="Z36:Z37"/>
    <mergeCell ref="AA36:AA37"/>
    <mergeCell ref="AB36:AB37"/>
  </mergeCells>
  <pageMargins left="0.7" right="0.7" top="0.75" bottom="0.75" header="0.3" footer="0.3"/>
  <pageSetup paperSize="9" scale="75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ACB90F3-3C19-42E6-8784-C61B64462D27}">
          <x14:formula1>
            <xm:f>Wskazniki!$A$4:$A$10</xm:f>
          </x14:formula1>
          <xm:sqref>A6:A12 A22:A28 A38:A44 A54:A60 Z6:Z12 Z54:Z60 Z22:Z30 Z38:Z44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5</vt:i4>
      </vt:variant>
    </vt:vector>
  </HeadingPairs>
  <TitlesOfParts>
    <vt:vector size="25" baseType="lpstr">
      <vt:lpstr>prognoza cieplo</vt:lpstr>
      <vt:lpstr>Bil Uz pub z uwzgl termo</vt:lpstr>
      <vt:lpstr>bilans  teraz</vt:lpstr>
      <vt:lpstr>Ok BILANS DZ GOSP</vt:lpstr>
      <vt:lpstr>BILANS</vt:lpstr>
      <vt:lpstr>OPTI</vt:lpstr>
      <vt:lpstr>ZANIECH</vt:lpstr>
      <vt:lpstr>2022 Emisja opti</vt:lpstr>
      <vt:lpstr>2032 Emisja opti</vt:lpstr>
      <vt:lpstr>2022 Emisja zaniech</vt:lpstr>
      <vt:lpstr>2032 Emisja zaniech</vt:lpstr>
      <vt:lpstr>prognoza gaz prąd</vt:lpstr>
      <vt:lpstr>Wskazniki</vt:lpstr>
      <vt:lpstr>OK MIESZK 2003 wskazn</vt:lpstr>
      <vt:lpstr>bilans OGOLEM</vt:lpstr>
      <vt:lpstr>bud uż publ</vt:lpstr>
      <vt:lpstr>wsaznik teraz</vt:lpstr>
      <vt:lpstr>bud uż porownanie</vt:lpstr>
      <vt:lpstr>emisja now</vt:lpstr>
      <vt:lpstr>CWU i pow.</vt:lpstr>
      <vt:lpstr>'2032 Emisja opti'!_Toc476568611</vt:lpstr>
      <vt:lpstr>'2032 Emisja zaniech'!_Toc476568611</vt:lpstr>
      <vt:lpstr>'2032 Emisja opti'!_Toc476568612</vt:lpstr>
      <vt:lpstr>'2032 Emisja zaniech'!_Toc476568612</vt:lpstr>
      <vt:lpstr>Wskazniki!Obszar_wydruku</vt:lpstr>
    </vt:vector>
  </TitlesOfParts>
  <Company>MAEŚ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Asia-1</dc:creator>
  <cp:lastModifiedBy>Asia-1</cp:lastModifiedBy>
  <dcterms:created xsi:type="dcterms:W3CDTF">2008-09-05T07:39:02Z</dcterms:created>
  <dcterms:modified xsi:type="dcterms:W3CDTF">2018-11-14T10:30:50Z</dcterms:modified>
</cp:coreProperties>
</file>